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s Documentos\ANTENAS\Apuntes antenas\Calculadores\"/>
    </mc:Choice>
  </mc:AlternateContent>
  <xr:revisionPtr revIDLastSave="0" documentId="13_ncr:1_{AA32F974-5760-4291-8E89-92A2A0036D3C}" xr6:coauthVersionLast="36" xr6:coauthVersionMax="47" xr10:uidLastSave="{00000000-0000-0000-0000-000000000000}"/>
  <bookViews>
    <workbookView xWindow="-110" yWindow="-110" windowWidth="23260" windowHeight="12580" xr2:uid="{00000000-000D-0000-FFFF-FFFF00000000}"/>
  </bookViews>
  <sheets>
    <sheet name="CALCULO DE TRAMPAS PARA DIPOLOS" sheetId="4" r:id="rId1"/>
  </sheets>
  <calcPr calcId="191029"/>
</workbook>
</file>

<file path=xl/calcChain.xml><?xml version="1.0" encoding="utf-8"?>
<calcChain xmlns="http://schemas.openxmlformats.org/spreadsheetml/2006/main">
  <c r="AD10" i="4" l="1"/>
  <c r="AC10" i="4"/>
  <c r="Q28" i="4"/>
  <c r="AG7" i="4"/>
  <c r="Y17" i="4"/>
  <c r="AH10" i="4"/>
  <c r="AF36" i="4"/>
  <c r="AD26" i="4"/>
  <c r="AD28" i="4" s="1"/>
  <c r="AD25" i="4"/>
  <c r="AD27" i="4" s="1"/>
  <c r="Y15" i="4"/>
  <c r="AC14" i="4"/>
  <c r="AD14" i="4" s="1"/>
  <c r="F15" i="4"/>
  <c r="AD29" i="4" l="1"/>
  <c r="AD30" i="4" s="1"/>
  <c r="AD20" i="4"/>
  <c r="AC34" i="4"/>
  <c r="AE14" i="4"/>
  <c r="AF14" i="4" s="1"/>
  <c r="AE10" i="4"/>
  <c r="AC20" i="4"/>
  <c r="H14" i="4"/>
  <c r="AG22" i="4" l="1"/>
  <c r="AE33" i="4" s="1"/>
  <c r="AG14" i="4"/>
  <c r="AI14" i="4" s="1"/>
  <c r="AC32" i="4"/>
  <c r="K25" i="4"/>
  <c r="AF26" i="4" l="1"/>
  <c r="AF32" i="4" s="1"/>
  <c r="AF10" i="4"/>
  <c r="M36" i="4"/>
  <c r="K26" i="4"/>
  <c r="K28" i="4" s="1"/>
  <c r="J34" i="4"/>
  <c r="F18" i="4"/>
  <c r="K14" i="4"/>
  <c r="K10" i="4"/>
  <c r="K20" i="4" s="1"/>
  <c r="J10" i="4"/>
  <c r="J20" i="4" s="1"/>
  <c r="O7" i="4"/>
  <c r="L20" i="4" l="1"/>
  <c r="AF27" i="4"/>
  <c r="AF34" i="4" s="1"/>
  <c r="AK10" i="4"/>
  <c r="AI10" i="4" s="1"/>
  <c r="AE20" i="4" s="1"/>
  <c r="L14" i="4"/>
  <c r="K29" i="4"/>
  <c r="K27" i="4"/>
  <c r="L10" i="4"/>
  <c r="M20" i="4" l="1"/>
  <c r="Q22" i="4" s="1"/>
  <c r="R22" i="4"/>
  <c r="M19" i="4"/>
  <c r="N22" i="4"/>
  <c r="AG20" i="4"/>
  <c r="AH20" i="4" s="1"/>
  <c r="AF20" i="4"/>
  <c r="AI20" i="4" s="1"/>
  <c r="AJ22" i="4" s="1"/>
  <c r="AG10" i="4"/>
  <c r="K30" i="4"/>
  <c r="J32" i="4" s="1"/>
  <c r="N14" i="4"/>
  <c r="M10" i="4" s="1"/>
  <c r="M14" i="4"/>
  <c r="L33" i="4" l="1"/>
  <c r="M26" i="4"/>
  <c r="M32" i="4" s="1"/>
  <c r="Q10" i="4"/>
  <c r="P14" i="4"/>
  <c r="O10" i="4" l="1"/>
  <c r="N10" i="4" s="1"/>
  <c r="M27" i="4"/>
  <c r="M34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 de Windows</author>
  </authors>
  <commentList>
    <comment ref="E1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Este valor, la experiencia dicta que se debe comenzar por una reactancia de 300 ohmios. 
Variarlo hasta que los valores de L y C sean practicables y el valor de L/C mayor de 90.000</t>
        </r>
      </text>
    </comment>
    <comment ref="F1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Variar el valor hasta una capacidad asequible y L/C por encima de 40.000. (Xl &gt; 200 </t>
        </r>
        <r>
          <rPr>
            <sz val="9"/>
            <color indexed="81"/>
            <rFont val="Calibri"/>
            <family val="2"/>
          </rPr>
          <t>Ω</t>
        </r>
        <r>
          <rPr>
            <sz val="8.1"/>
            <color indexed="81"/>
            <rFont val="Tahoma"/>
            <family val="2"/>
          </rPr>
          <t>)</t>
        </r>
      </text>
    </comment>
    <comment ref="Y13" authorId="0" shapeId="0" xr:uid="{E94B270A-052D-4C2E-802A-1D3611D6DF65}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Variar el valor hasta una capacidad asequible y L/C por encima de 40.000. (Xl &gt; 200 </t>
        </r>
        <r>
          <rPr>
            <sz val="9"/>
            <color indexed="81"/>
            <rFont val="Calibri"/>
            <family val="2"/>
          </rPr>
          <t>Ω</t>
        </r>
        <r>
          <rPr>
            <sz val="8.1"/>
            <color indexed="81"/>
            <rFont val="Tahoma"/>
            <family val="2"/>
          </rPr>
          <t>)</t>
        </r>
      </text>
    </comment>
    <comment ref="J14" authorId="0" shapeId="0" xr:uid="{D9D5C10F-B572-4F51-8A62-49868C87A873}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ES necesario insertar el valor de esp / cm que figura en la tablaP24 / /R30</t>
        </r>
      </text>
    </comment>
  </commentList>
</comments>
</file>

<file path=xl/sharedStrings.xml><?xml version="1.0" encoding="utf-8"?>
<sst xmlns="http://schemas.openxmlformats.org/spreadsheetml/2006/main" count="123" uniqueCount="68">
  <si>
    <t>Diametro interior de la bobina(cm)</t>
  </si>
  <si>
    <t>N</t>
  </si>
  <si>
    <t>Q</t>
  </si>
  <si>
    <t>Zo hilo antena</t>
  </si>
  <si>
    <t>L/C</t>
  </si>
  <si>
    <t>β</t>
  </si>
  <si>
    <t>Diametro del hilo bobina (mm)</t>
  </si>
  <si>
    <t>Frecuencia superior (Mhz)</t>
  </si>
  <si>
    <t>Frecuencia inferior (MHz)</t>
  </si>
  <si>
    <t>Reactancia de L y C de la trampa  (en paralelo)</t>
  </si>
  <si>
    <t xml:space="preserve"> βH</t>
  </si>
  <si>
    <t>X tope interior</t>
  </si>
  <si>
    <t>X exterior</t>
  </si>
  <si>
    <t>Long exterior</t>
  </si>
  <si>
    <t>mts</t>
  </si>
  <si>
    <t>Long.interior</t>
  </si>
  <si>
    <t xml:space="preserve"> (esp/cm)</t>
  </si>
  <si>
    <t>Long bobina(cm)</t>
  </si>
  <si>
    <t>x</t>
  </si>
  <si>
    <t>Long hilo (mts)</t>
  </si>
  <si>
    <t>Carga combinada de las XL y Xc de la trampa en paralelo =</t>
  </si>
  <si>
    <t>Ver nota</t>
  </si>
  <si>
    <t>NOTA</t>
  </si>
  <si>
    <t>ENTRADA DE DATOS</t>
  </si>
  <si>
    <t>W</t>
  </si>
  <si>
    <t>Valores de la trampa resonante a</t>
  </si>
  <si>
    <t>MHz</t>
  </si>
  <si>
    <t xml:space="preserve">Actuando como carga para </t>
  </si>
  <si>
    <t>X</t>
  </si>
  <si>
    <t>int</t>
  </si>
  <si>
    <t>Tope interior</t>
  </si>
  <si>
    <t xml:space="preserve">              'X=(Xint+(-Xbob))'</t>
  </si>
  <si>
    <t>Z (R) en resonancia</t>
  </si>
  <si>
    <t>Long/Diám</t>
  </si>
  <si>
    <t>R paralelo</t>
  </si>
  <si>
    <t>R serie</t>
  </si>
  <si>
    <t>Diseño bobina de hilo</t>
  </si>
  <si>
    <t>Cálculo del tramo exterior</t>
  </si>
  <si>
    <t>Radio de la forma (cm)</t>
  </si>
  <si>
    <t>Xl</t>
  </si>
  <si>
    <t>Xc</t>
  </si>
  <si>
    <t>Xl como carga</t>
  </si>
  <si>
    <t>Q (Merdhust)</t>
  </si>
  <si>
    <t>Resonancia de la Trampa (Mhz)</t>
  </si>
  <si>
    <r>
      <t>L (</t>
    </r>
    <r>
      <rPr>
        <b/>
        <sz val="12"/>
        <color indexed="10"/>
        <rFont val="Symbol"/>
        <family val="1"/>
        <charset val="2"/>
      </rPr>
      <t>m</t>
    </r>
    <r>
      <rPr>
        <b/>
        <sz val="12"/>
        <color indexed="10"/>
        <rFont val="Arial"/>
        <family val="2"/>
      </rPr>
      <t>H)</t>
    </r>
  </si>
  <si>
    <r>
      <t>C (</t>
    </r>
    <r>
      <rPr>
        <b/>
        <sz val="12"/>
        <color indexed="10"/>
        <rFont val="Symbol"/>
        <family val="1"/>
        <charset val="2"/>
      </rPr>
      <t>r</t>
    </r>
    <r>
      <rPr>
        <b/>
        <sz val="12"/>
        <color indexed="10"/>
        <rFont val="Arial"/>
        <family val="2"/>
      </rPr>
      <t>F)</t>
    </r>
  </si>
  <si>
    <r>
      <t xml:space="preserve"> R pérdidas (</t>
    </r>
    <r>
      <rPr>
        <sz val="12"/>
        <rFont val="Symbol"/>
        <family val="1"/>
        <charset val="2"/>
      </rPr>
      <t xml:space="preserve">W) </t>
    </r>
  </si>
  <si>
    <r>
      <t>Reactancia de la bobina(</t>
    </r>
    <r>
      <rPr>
        <i/>
        <sz val="12"/>
        <rFont val="Symbol"/>
        <family val="1"/>
        <charset val="2"/>
      </rPr>
      <t>W)</t>
    </r>
  </si>
  <si>
    <r>
      <t xml:space="preserve">Tramo interior (1/4 de </t>
    </r>
    <r>
      <rPr>
        <sz val="12"/>
        <rFont val="Symbol"/>
        <family val="1"/>
        <charset val="2"/>
      </rPr>
      <t>l</t>
    </r>
    <r>
      <rPr>
        <sz val="12"/>
        <rFont val="Arial"/>
        <family val="2"/>
      </rPr>
      <t>)</t>
    </r>
  </si>
  <si>
    <r>
      <t>l</t>
    </r>
    <r>
      <rPr>
        <sz val="12"/>
        <rFont val="Arial"/>
        <family val="2"/>
      </rPr>
      <t xml:space="preserve"> </t>
    </r>
  </si>
  <si>
    <t xml:space="preserve">Xbob </t>
  </si>
  <si>
    <t>Diámetro de hilo de antena (mm)</t>
  </si>
  <si>
    <t>B (MHz)</t>
  </si>
  <si>
    <t>L (uH)</t>
  </si>
  <si>
    <t>uH</t>
  </si>
  <si>
    <t>Reactancia X</t>
  </si>
  <si>
    <r>
      <t xml:space="preserve">W   </t>
    </r>
    <r>
      <rPr>
        <sz val="12"/>
        <rFont val="Arial"/>
        <family val="2"/>
      </rPr>
      <t>correspondientes a</t>
    </r>
    <r>
      <rPr>
        <sz val="12"/>
        <rFont val="Symbol"/>
        <family val="1"/>
        <charset val="2"/>
      </rPr>
      <t xml:space="preserve"> </t>
    </r>
  </si>
  <si>
    <t>m</t>
  </si>
  <si>
    <t>CALCULO DE TRAMPAS PARA DIPOLO MULTIBANDA para 2 FRECUENCIAS ( a partir de una capacidad disponible en celdas YZ13 )</t>
  </si>
  <si>
    <t>CALCULO DE TRAMPAS PARA DIPOLO MULTIBANDA para 2 FRECUENCIAS ( a partir de una reactancia prefijada en celdas FG13 )</t>
  </si>
  <si>
    <t>Hilo de bobina</t>
  </si>
  <si>
    <t>Sección (mm2)</t>
  </si>
  <si>
    <t>Diámetro</t>
  </si>
  <si>
    <t>X en paralelo</t>
  </si>
  <si>
    <r>
      <t xml:space="preserve">W </t>
    </r>
    <r>
      <rPr>
        <sz val="12"/>
        <rFont val="Arial"/>
        <family val="2"/>
      </rPr>
      <t>correspondientes a</t>
    </r>
    <r>
      <rPr>
        <b/>
        <sz val="12"/>
        <color rgb="FFFF0000"/>
        <rFont val="Symbol"/>
        <family val="1"/>
        <charset val="2"/>
      </rPr>
      <t xml:space="preserve"> </t>
    </r>
  </si>
  <si>
    <t>Reactancia de la bobina</t>
  </si>
  <si>
    <t>Esp / cm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</si>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</sst>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23" x14ac:knownFonts="1">
    <font>
      <sz val="10"/>
      <name val="Arial"/>
    </font>
    <font>
      <b/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Calibri"/>
      <family val="2"/>
    </font>
    <font>
      <sz val="8.1"/>
      <color indexed="81"/>
      <name val="Tahoma"/>
      <family val="2"/>
    </font>
    <font>
      <sz val="12"/>
      <name val="Arial"/>
      <family val="2"/>
    </font>
    <font>
      <sz val="12"/>
      <color indexed="10"/>
      <name val="Arial"/>
      <family val="2"/>
    </font>
    <font>
      <b/>
      <i/>
      <sz val="12"/>
      <color theme="0"/>
      <name val="Arial"/>
      <family val="2"/>
    </font>
    <font>
      <sz val="12"/>
      <color rgb="FF0070C0"/>
      <name val="Arial"/>
      <family val="2"/>
    </font>
    <font>
      <sz val="12"/>
      <color indexed="12"/>
      <name val="Arial"/>
      <family val="2"/>
    </font>
    <font>
      <b/>
      <sz val="12"/>
      <color indexed="10"/>
      <name val="Arial"/>
      <family val="2"/>
    </font>
    <font>
      <b/>
      <sz val="12"/>
      <color indexed="10"/>
      <name val="Symbol"/>
      <family val="1"/>
      <charset val="2"/>
    </font>
    <font>
      <sz val="12"/>
      <name val="Symbol"/>
      <family val="1"/>
      <charset val="2"/>
    </font>
    <font>
      <i/>
      <sz val="12"/>
      <name val="Arial"/>
      <family val="2"/>
    </font>
    <font>
      <i/>
      <sz val="12"/>
      <name val="Symbol"/>
      <family val="1"/>
      <charset val="2"/>
    </font>
    <font>
      <b/>
      <sz val="12"/>
      <color theme="5" tint="-0.499984740745262"/>
      <name val="Arial"/>
      <family val="2"/>
    </font>
    <font>
      <b/>
      <sz val="12"/>
      <color rgb="FFFF0000"/>
      <name val="Arial"/>
      <family val="2"/>
    </font>
    <font>
      <b/>
      <sz val="12"/>
      <color rgb="FFFF0000"/>
      <name val="Symbol"/>
      <family val="1"/>
      <charset val="2"/>
    </font>
    <font>
      <b/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12"/>
      <color rgb="FF00B050"/>
      <name val="Arial"/>
      <family val="2"/>
    </font>
    <font>
      <b/>
      <sz val="12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-0.249977111117893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59">
    <xf numFmtId="0" fontId="0" fillId="0" borderId="0" xfId="0"/>
    <xf numFmtId="0" fontId="6" fillId="4" borderId="26" xfId="0" applyFont="1" applyFill="1" applyBorder="1"/>
    <xf numFmtId="0" fontId="6" fillId="4" borderId="27" xfId="0" applyFont="1" applyFill="1" applyBorder="1"/>
    <xf numFmtId="0" fontId="6" fillId="4" borderId="27" xfId="0" applyFont="1" applyFill="1" applyBorder="1" applyAlignment="1">
      <alignment horizontal="right"/>
    </xf>
    <xf numFmtId="164" fontId="6" fillId="4" borderId="27" xfId="0" applyNumberFormat="1" applyFont="1" applyFill="1" applyBorder="1"/>
    <xf numFmtId="2" fontId="6" fillId="4" borderId="27" xfId="0" applyNumberFormat="1" applyFont="1" applyFill="1" applyBorder="1"/>
    <xf numFmtId="4" fontId="6" fillId="4" borderId="27" xfId="0" applyNumberFormat="1" applyFont="1" applyFill="1" applyBorder="1"/>
    <xf numFmtId="2" fontId="7" fillId="4" borderId="27" xfId="0" applyNumberFormat="1" applyFont="1" applyFill="1" applyBorder="1" applyAlignment="1">
      <alignment horizontal="left"/>
    </xf>
    <xf numFmtId="0" fontId="6" fillId="4" borderId="27" xfId="0" applyFont="1" applyFill="1" applyBorder="1" applyAlignment="1">
      <alignment horizontal="left"/>
    </xf>
    <xf numFmtId="0" fontId="6" fillId="4" borderId="28" xfId="0" applyFont="1" applyFill="1" applyBorder="1"/>
    <xf numFmtId="0" fontId="6" fillId="0" borderId="0" xfId="0" applyFont="1"/>
    <xf numFmtId="0" fontId="6" fillId="4" borderId="29" xfId="0" applyFont="1" applyFill="1" applyBorder="1"/>
    <xf numFmtId="0" fontId="6" fillId="4" borderId="0" xfId="0" applyFont="1" applyFill="1"/>
    <xf numFmtId="0" fontId="6" fillId="4" borderId="0" xfId="0" applyFont="1" applyFill="1" applyAlignment="1">
      <alignment horizontal="right"/>
    </xf>
    <xf numFmtId="0" fontId="6" fillId="4" borderId="17" xfId="0" applyFont="1" applyFill="1" applyBorder="1"/>
    <xf numFmtId="164" fontId="6" fillId="4" borderId="18" xfId="0" applyNumberFormat="1" applyFont="1" applyFill="1" applyBorder="1"/>
    <xf numFmtId="2" fontId="6" fillId="4" borderId="18" xfId="0" applyNumberFormat="1" applyFont="1" applyFill="1" applyBorder="1"/>
    <xf numFmtId="4" fontId="6" fillId="4" borderId="18" xfId="0" applyNumberFormat="1" applyFont="1" applyFill="1" applyBorder="1"/>
    <xf numFmtId="0" fontId="6" fillId="4" borderId="15" xfId="0" applyFont="1" applyFill="1" applyBorder="1"/>
    <xf numFmtId="2" fontId="1" fillId="9" borderId="12" xfId="0" applyNumberFormat="1" applyFont="1" applyFill="1" applyBorder="1"/>
    <xf numFmtId="0" fontId="6" fillId="0" borderId="17" xfId="0" applyFont="1" applyBorder="1" applyAlignment="1">
      <alignment horizontal="right"/>
    </xf>
    <xf numFmtId="2" fontId="1" fillId="9" borderId="17" xfId="0" applyNumberFormat="1" applyFont="1" applyFill="1" applyBorder="1" applyAlignment="1">
      <alignment horizontal="right"/>
    </xf>
    <xf numFmtId="2" fontId="1" fillId="9" borderId="18" xfId="0" applyNumberFormat="1" applyFont="1" applyFill="1" applyBorder="1" applyAlignment="1">
      <alignment horizontal="right"/>
    </xf>
    <xf numFmtId="2" fontId="1" fillId="9" borderId="18" xfId="0" applyNumberFormat="1" applyFont="1" applyFill="1" applyBorder="1"/>
    <xf numFmtId="2" fontId="1" fillId="9" borderId="18" xfId="0" applyNumberFormat="1" applyFont="1" applyFill="1" applyBorder="1" applyAlignment="1">
      <alignment horizontal="left"/>
    </xf>
    <xf numFmtId="0" fontId="6" fillId="2" borderId="5" xfId="0" applyFont="1" applyFill="1" applyBorder="1" applyAlignment="1">
      <alignment horizontal="right"/>
    </xf>
    <xf numFmtId="164" fontId="11" fillId="3" borderId="5" xfId="0" applyNumberFormat="1" applyFont="1" applyFill="1" applyBorder="1" applyAlignment="1">
      <alignment horizontal="center"/>
    </xf>
    <xf numFmtId="2" fontId="11" fillId="3" borderId="7" xfId="0" applyNumberFormat="1" applyFont="1" applyFill="1" applyBorder="1" applyAlignment="1">
      <alignment horizontal="center"/>
    </xf>
    <xf numFmtId="4" fontId="6" fillId="2" borderId="7" xfId="0" applyNumberFormat="1" applyFont="1" applyFill="1" applyBorder="1" applyAlignment="1">
      <alignment horizontal="center"/>
    </xf>
    <xf numFmtId="2" fontId="6" fillId="2" borderId="7" xfId="0" applyNumberFormat="1" applyFont="1" applyFill="1" applyBorder="1" applyAlignment="1">
      <alignment horizontal="center"/>
    </xf>
    <xf numFmtId="0" fontId="6" fillId="2" borderId="6" xfId="0" applyFont="1" applyFill="1" applyBorder="1" applyAlignment="1">
      <alignment horizontal="right"/>
    </xf>
    <xf numFmtId="164" fontId="11" fillId="3" borderId="2" xfId="0" applyNumberFormat="1" applyFont="1" applyFill="1" applyBorder="1" applyAlignment="1">
      <alignment horizontal="center"/>
    </xf>
    <xf numFmtId="2" fontId="11" fillId="3" borderId="3" xfId="0" applyNumberFormat="1" applyFont="1" applyFill="1" applyBorder="1" applyAlignment="1">
      <alignment horizontal="center"/>
    </xf>
    <xf numFmtId="3" fontId="6" fillId="2" borderId="3" xfId="0" applyNumberFormat="1" applyFont="1" applyFill="1" applyBorder="1" applyAlignment="1">
      <alignment horizontal="center"/>
    </xf>
    <xf numFmtId="1" fontId="6" fillId="2" borderId="3" xfId="0" applyNumberFormat="1" applyFont="1" applyFill="1" applyBorder="1" applyAlignment="1">
      <alignment horizontal="center"/>
    </xf>
    <xf numFmtId="0" fontId="6" fillId="4" borderId="16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right"/>
    </xf>
    <xf numFmtId="0" fontId="6" fillId="2" borderId="42" xfId="0" applyFont="1" applyFill="1" applyBorder="1" applyAlignment="1">
      <alignment horizontal="right"/>
    </xf>
    <xf numFmtId="2" fontId="6" fillId="2" borderId="2" xfId="0" applyNumberFormat="1" applyFont="1" applyFill="1" applyBorder="1" applyAlignment="1">
      <alignment horizontal="center"/>
    </xf>
    <xf numFmtId="2" fontId="6" fillId="2" borderId="3" xfId="0" applyNumberFormat="1" applyFont="1" applyFill="1" applyBorder="1" applyAlignment="1">
      <alignment horizontal="center"/>
    </xf>
    <xf numFmtId="4" fontId="11" fillId="2" borderId="3" xfId="0" applyNumberFormat="1" applyFont="1" applyFill="1" applyBorder="1" applyAlignment="1">
      <alignment horizontal="center"/>
    </xf>
    <xf numFmtId="0" fontId="6" fillId="11" borderId="2" xfId="0" applyFont="1" applyFill="1" applyBorder="1" applyAlignment="1">
      <alignment horizontal="right"/>
    </xf>
    <xf numFmtId="0" fontId="6" fillId="4" borderId="20" xfId="0" applyFont="1" applyFill="1" applyBorder="1"/>
    <xf numFmtId="0" fontId="6" fillId="4" borderId="21" xfId="0" applyFont="1" applyFill="1" applyBorder="1" applyAlignment="1">
      <alignment horizontal="left"/>
    </xf>
    <xf numFmtId="0" fontId="6" fillId="10" borderId="17" xfId="0" applyFont="1" applyFill="1" applyBorder="1"/>
    <xf numFmtId="0" fontId="6" fillId="10" borderId="15" xfId="0" applyFont="1" applyFill="1" applyBorder="1"/>
    <xf numFmtId="0" fontId="6" fillId="10" borderId="17" xfId="0" applyFont="1" applyFill="1" applyBorder="1" applyAlignment="1">
      <alignment horizontal="right"/>
    </xf>
    <xf numFmtId="0" fontId="6" fillId="10" borderId="18" xfId="0" applyFont="1" applyFill="1" applyBorder="1"/>
    <xf numFmtId="164" fontId="6" fillId="10" borderId="18" xfId="0" applyNumberFormat="1" applyFont="1" applyFill="1" applyBorder="1"/>
    <xf numFmtId="2" fontId="6" fillId="10" borderId="18" xfId="0" applyNumberFormat="1" applyFont="1" applyFill="1" applyBorder="1"/>
    <xf numFmtId="4" fontId="6" fillId="10" borderId="18" xfId="0" applyNumberFormat="1" applyFont="1" applyFill="1" applyBorder="1"/>
    <xf numFmtId="164" fontId="6" fillId="2" borderId="5" xfId="0" applyNumberFormat="1" applyFont="1" applyFill="1" applyBorder="1" applyAlignment="1">
      <alignment horizontal="center"/>
    </xf>
    <xf numFmtId="2" fontId="6" fillId="0" borderId="25" xfId="0" applyNumberFormat="1" applyFont="1" applyBorder="1"/>
    <xf numFmtId="2" fontId="6" fillId="0" borderId="7" xfId="0" applyNumberFormat="1" applyFont="1" applyBorder="1"/>
    <xf numFmtId="164" fontId="6" fillId="2" borderId="2" xfId="0" applyNumberFormat="1" applyFont="1" applyFill="1" applyBorder="1" applyAlignment="1">
      <alignment horizontal="center"/>
    </xf>
    <xf numFmtId="4" fontId="6" fillId="0" borderId="3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164" fontId="6" fillId="10" borderId="21" xfId="0" applyNumberFormat="1" applyFont="1" applyFill="1" applyBorder="1" applyAlignment="1">
      <alignment vertical="center"/>
    </xf>
    <xf numFmtId="2" fontId="6" fillId="10" borderId="21" xfId="0" applyNumberFormat="1" applyFont="1" applyFill="1" applyBorder="1" applyAlignment="1">
      <alignment vertical="center"/>
    </xf>
    <xf numFmtId="164" fontId="6" fillId="11" borderId="8" xfId="0" applyNumberFormat="1" applyFont="1" applyFill="1" applyBorder="1" applyAlignment="1">
      <alignment horizontal="right"/>
    </xf>
    <xf numFmtId="2" fontId="6" fillId="11" borderId="4" xfId="0" applyNumberFormat="1" applyFont="1" applyFill="1" applyBorder="1"/>
    <xf numFmtId="164" fontId="13" fillId="2" borderId="6" xfId="0" applyNumberFormat="1" applyFont="1" applyFill="1" applyBorder="1" applyAlignment="1">
      <alignment horizontal="right"/>
    </xf>
    <xf numFmtId="2" fontId="6" fillId="2" borderId="9" xfId="0" applyNumberFormat="1" applyFont="1" applyFill="1" applyBorder="1"/>
    <xf numFmtId="4" fontId="6" fillId="2" borderId="8" xfId="0" applyNumberFormat="1" applyFont="1" applyFill="1" applyBorder="1" applyAlignment="1">
      <alignment horizontal="right"/>
    </xf>
    <xf numFmtId="2" fontId="6" fillId="2" borderId="4" xfId="0" applyNumberFormat="1" applyFont="1" applyFill="1" applyBorder="1" applyAlignment="1">
      <alignment horizontal="center" vertical="justify"/>
    </xf>
    <xf numFmtId="164" fontId="6" fillId="2" borderId="6" xfId="0" applyNumberFormat="1" applyFont="1" applyFill="1" applyBorder="1" applyAlignment="1">
      <alignment horizontal="right"/>
    </xf>
    <xf numFmtId="4" fontId="11" fillId="3" borderId="2" xfId="0" applyNumberFormat="1" applyFont="1" applyFill="1" applyBorder="1" applyAlignment="1">
      <alignment horizontal="right"/>
    </xf>
    <xf numFmtId="2" fontId="11" fillId="3" borderId="11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2" fontId="6" fillId="2" borderId="10" xfId="0" applyNumberFormat="1" applyFont="1" applyFill="1" applyBorder="1"/>
    <xf numFmtId="164" fontId="6" fillId="2" borderId="2" xfId="0" applyNumberFormat="1" applyFont="1" applyFill="1" applyBorder="1" applyAlignment="1">
      <alignment horizontal="right"/>
    </xf>
    <xf numFmtId="2" fontId="6" fillId="2" borderId="1" xfId="0" applyNumberFormat="1" applyFont="1" applyFill="1" applyBorder="1"/>
    <xf numFmtId="0" fontId="1" fillId="10" borderId="15" xfId="0" applyFont="1" applyFill="1" applyBorder="1" applyAlignment="1">
      <alignment horizontal="right" vertical="center"/>
    </xf>
    <xf numFmtId="0" fontId="6" fillId="10" borderId="15" xfId="0" applyFont="1" applyFill="1" applyBorder="1" applyAlignment="1">
      <alignment horizontal="right"/>
    </xf>
    <xf numFmtId="3" fontId="11" fillId="10" borderId="41" xfId="0" applyNumberFormat="1" applyFont="1" applyFill="1" applyBorder="1" applyAlignment="1">
      <alignment horizontal="center"/>
    </xf>
    <xf numFmtId="0" fontId="6" fillId="10" borderId="20" xfId="0" applyFont="1" applyFill="1" applyBorder="1"/>
    <xf numFmtId="0" fontId="6" fillId="4" borderId="32" xfId="0" applyFont="1" applyFill="1" applyBorder="1"/>
    <xf numFmtId="0" fontId="6" fillId="10" borderId="20" xfId="0" applyFont="1" applyFill="1" applyBorder="1" applyAlignment="1">
      <alignment horizontal="right"/>
    </xf>
    <xf numFmtId="0" fontId="6" fillId="10" borderId="21" xfId="0" applyFont="1" applyFill="1" applyBorder="1"/>
    <xf numFmtId="164" fontId="6" fillId="10" borderId="21" xfId="0" applyNumberFormat="1" applyFont="1" applyFill="1" applyBorder="1"/>
    <xf numFmtId="2" fontId="6" fillId="10" borderId="21" xfId="0" applyNumberFormat="1" applyFont="1" applyFill="1" applyBorder="1"/>
    <xf numFmtId="4" fontId="6" fillId="10" borderId="21" xfId="0" applyNumberFormat="1" applyFont="1" applyFill="1" applyBorder="1"/>
    <xf numFmtId="0" fontId="6" fillId="4" borderId="31" xfId="0" applyFont="1" applyFill="1" applyBorder="1"/>
    <xf numFmtId="0" fontId="6" fillId="4" borderId="32" xfId="0" applyFont="1" applyFill="1" applyBorder="1" applyAlignment="1">
      <alignment horizontal="right"/>
    </xf>
    <xf numFmtId="164" fontId="6" fillId="4" borderId="32" xfId="0" applyNumberFormat="1" applyFont="1" applyFill="1" applyBorder="1"/>
    <xf numFmtId="2" fontId="6" fillId="4" borderId="32" xfId="0" applyNumberFormat="1" applyFont="1" applyFill="1" applyBorder="1"/>
    <xf numFmtId="4" fontId="6" fillId="4" borderId="32" xfId="0" applyNumberFormat="1" applyFont="1" applyFill="1" applyBorder="1"/>
    <xf numFmtId="2" fontId="7" fillId="4" borderId="32" xfId="0" applyNumberFormat="1" applyFont="1" applyFill="1" applyBorder="1" applyAlignment="1">
      <alignment horizontal="left"/>
    </xf>
    <xf numFmtId="0" fontId="6" fillId="4" borderId="32" xfId="0" applyFont="1" applyFill="1" applyBorder="1" applyAlignment="1">
      <alignment horizontal="left"/>
    </xf>
    <xf numFmtId="2" fontId="6" fillId="2" borderId="25" xfId="0" applyNumberFormat="1" applyFont="1" applyFill="1" applyBorder="1" applyAlignment="1">
      <alignment horizontal="center"/>
    </xf>
    <xf numFmtId="2" fontId="6" fillId="0" borderId="25" xfId="0" applyNumberFormat="1" applyFont="1" applyBorder="1" applyAlignment="1">
      <alignment horizontal="center"/>
    </xf>
    <xf numFmtId="2" fontId="1" fillId="9" borderId="12" xfId="0" applyNumberFormat="1" applyFont="1" applyFill="1" applyBorder="1" applyAlignment="1">
      <alignment horizontal="right"/>
    </xf>
    <xf numFmtId="2" fontId="6" fillId="0" borderId="7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2" fontId="6" fillId="2" borderId="11" xfId="0" applyNumberFormat="1" applyFont="1" applyFill="1" applyBorder="1" applyAlignment="1">
      <alignment horizontal="center"/>
    </xf>
    <xf numFmtId="2" fontId="6" fillId="2" borderId="36" xfId="0" applyNumberFormat="1" applyFont="1" applyFill="1" applyBorder="1"/>
    <xf numFmtId="2" fontId="6" fillId="2" borderId="24" xfId="0" applyNumberFormat="1" applyFont="1" applyFill="1" applyBorder="1" applyAlignment="1">
      <alignment horizontal="center"/>
    </xf>
    <xf numFmtId="165" fontId="6" fillId="2" borderId="38" xfId="0" applyNumberFormat="1" applyFont="1" applyFill="1" applyBorder="1" applyAlignment="1">
      <alignment horizontal="center"/>
    </xf>
    <xf numFmtId="1" fontId="11" fillId="12" borderId="12" xfId="0" applyNumberFormat="1" applyFont="1" applyFill="1" applyBorder="1" applyAlignment="1">
      <alignment horizontal="center" vertical="justify" wrapText="1"/>
    </xf>
    <xf numFmtId="2" fontId="13" fillId="12" borderId="12" xfId="0" applyNumberFormat="1" applyFont="1" applyFill="1" applyBorder="1" applyAlignment="1">
      <alignment vertical="center"/>
    </xf>
    <xf numFmtId="0" fontId="6" fillId="12" borderId="12" xfId="0" applyFont="1" applyFill="1" applyBorder="1"/>
    <xf numFmtId="2" fontId="6" fillId="10" borderId="0" xfId="0" applyNumberFormat="1" applyFont="1" applyFill="1"/>
    <xf numFmtId="2" fontId="17" fillId="12" borderId="12" xfId="0" applyNumberFormat="1" applyFont="1" applyFill="1" applyBorder="1" applyAlignment="1">
      <alignment horizontal="left"/>
    </xf>
    <xf numFmtId="4" fontId="11" fillId="2" borderId="7" xfId="0" applyNumberFormat="1" applyFont="1" applyFill="1" applyBorder="1" applyAlignment="1">
      <alignment horizontal="center"/>
    </xf>
    <xf numFmtId="2" fontId="13" fillId="2" borderId="47" xfId="0" applyNumberFormat="1" applyFont="1" applyFill="1" applyBorder="1" applyAlignment="1">
      <alignment horizontal="center"/>
    </xf>
    <xf numFmtId="0" fontId="6" fillId="0" borderId="23" xfId="0" applyFont="1" applyBorder="1" applyAlignment="1">
      <alignment horizontal="center"/>
    </xf>
    <xf numFmtId="2" fontId="6" fillId="10" borderId="0" xfId="0" applyNumberFormat="1" applyFont="1" applyFill="1" applyAlignment="1">
      <alignment horizontal="center" vertical="justify"/>
    </xf>
    <xf numFmtId="0" fontId="6" fillId="10" borderId="0" xfId="0" applyFont="1" applyFill="1"/>
    <xf numFmtId="2" fontId="6" fillId="10" borderId="0" xfId="0" applyNumberFormat="1" applyFont="1" applyFill="1" applyAlignment="1">
      <alignment horizontal="center"/>
    </xf>
    <xf numFmtId="2" fontId="6" fillId="4" borderId="0" xfId="0" applyNumberFormat="1" applyFont="1" applyFill="1"/>
    <xf numFmtId="0" fontId="6" fillId="4" borderId="18" xfId="0" applyFont="1" applyFill="1" applyBorder="1"/>
    <xf numFmtId="0" fontId="6" fillId="4" borderId="19" xfId="0" applyFont="1" applyFill="1" applyBorder="1" applyAlignment="1">
      <alignment horizontal="left"/>
    </xf>
    <xf numFmtId="2" fontId="1" fillId="9" borderId="19" xfId="0" applyNumberFormat="1" applyFont="1" applyFill="1" applyBorder="1" applyAlignment="1">
      <alignment horizontal="left"/>
    </xf>
    <xf numFmtId="164" fontId="6" fillId="4" borderId="0" xfId="0" applyNumberFormat="1" applyFont="1" applyFill="1"/>
    <xf numFmtId="4" fontId="6" fillId="4" borderId="0" xfId="0" applyNumberFormat="1" applyFont="1" applyFill="1"/>
    <xf numFmtId="0" fontId="6" fillId="4" borderId="22" xfId="0" applyFont="1" applyFill="1" applyBorder="1" applyAlignment="1">
      <alignment horizontal="left"/>
    </xf>
    <xf numFmtId="0" fontId="6" fillId="4" borderId="48" xfId="0" applyFont="1" applyFill="1" applyBorder="1"/>
    <xf numFmtId="0" fontId="6" fillId="4" borderId="21" xfId="0" applyFont="1" applyFill="1" applyBorder="1"/>
    <xf numFmtId="0" fontId="6" fillId="4" borderId="49" xfId="0" applyFont="1" applyFill="1" applyBorder="1"/>
    <xf numFmtId="0" fontId="6" fillId="4" borderId="12" xfId="0" applyFont="1" applyFill="1" applyBorder="1" applyAlignment="1">
      <alignment horizontal="left"/>
    </xf>
    <xf numFmtId="0" fontId="6" fillId="4" borderId="34" xfId="0" applyFont="1" applyFill="1" applyBorder="1" applyAlignment="1">
      <alignment horizontal="left"/>
    </xf>
    <xf numFmtId="0" fontId="6" fillId="10" borderId="19" xfId="0" applyFont="1" applyFill="1" applyBorder="1" applyAlignment="1">
      <alignment horizontal="left"/>
    </xf>
    <xf numFmtId="4" fontId="6" fillId="10" borderId="0" xfId="0" applyNumberFormat="1" applyFont="1" applyFill="1"/>
    <xf numFmtId="0" fontId="6" fillId="10" borderId="16" xfId="0" applyFont="1" applyFill="1" applyBorder="1" applyAlignment="1">
      <alignment horizontal="left"/>
    </xf>
    <xf numFmtId="4" fontId="6" fillId="10" borderId="0" xfId="0" applyNumberFormat="1" applyFont="1" applyFill="1" applyAlignment="1">
      <alignment vertical="center"/>
    </xf>
    <xf numFmtId="2" fontId="6" fillId="10" borderId="0" xfId="0" applyNumberFormat="1" applyFont="1" applyFill="1" applyAlignment="1">
      <alignment horizontal="left"/>
    </xf>
    <xf numFmtId="4" fontId="1" fillId="10" borderId="0" xfId="0" applyNumberFormat="1" applyFont="1" applyFill="1"/>
    <xf numFmtId="2" fontId="13" fillId="10" borderId="0" xfId="0" applyNumberFormat="1" applyFont="1" applyFill="1"/>
    <xf numFmtId="2" fontId="1" fillId="10" borderId="0" xfId="0" applyNumberFormat="1" applyFont="1" applyFill="1" applyAlignment="1">
      <alignment horizontal="left" vertical="center"/>
    </xf>
    <xf numFmtId="0" fontId="1" fillId="10" borderId="0" xfId="0" applyFont="1" applyFill="1" applyAlignment="1">
      <alignment horizontal="center" vertical="center"/>
    </xf>
    <xf numFmtId="164" fontId="6" fillId="10" borderId="0" xfId="0" applyNumberFormat="1" applyFont="1" applyFill="1" applyAlignment="1">
      <alignment horizontal="right"/>
    </xf>
    <xf numFmtId="4" fontId="6" fillId="10" borderId="0" xfId="0" applyNumberFormat="1" applyFont="1" applyFill="1" applyAlignment="1">
      <alignment horizontal="right"/>
    </xf>
    <xf numFmtId="2" fontId="6" fillId="10" borderId="0" xfId="0" applyNumberFormat="1" applyFont="1" applyFill="1" applyAlignment="1">
      <alignment horizontal="right"/>
    </xf>
    <xf numFmtId="4" fontId="13" fillId="10" borderId="0" xfId="0" applyNumberFormat="1" applyFont="1" applyFill="1" applyAlignment="1">
      <alignment horizontal="center"/>
    </xf>
    <xf numFmtId="164" fontId="6" fillId="10" borderId="0" xfId="0" applyNumberFormat="1" applyFont="1" applyFill="1"/>
    <xf numFmtId="164" fontId="11" fillId="10" borderId="0" xfId="0" applyNumberFormat="1" applyFont="1" applyFill="1"/>
    <xf numFmtId="4" fontId="16" fillId="10" borderId="0" xfId="0" applyNumberFormat="1" applyFont="1" applyFill="1" applyAlignment="1">
      <alignment horizontal="center"/>
    </xf>
    <xf numFmtId="2" fontId="11" fillId="10" borderId="0" xfId="0" applyNumberFormat="1" applyFont="1" applyFill="1"/>
    <xf numFmtId="164" fontId="1" fillId="10" borderId="0" xfId="0" applyNumberFormat="1" applyFont="1" applyFill="1" applyAlignment="1">
      <alignment horizontal="right"/>
    </xf>
    <xf numFmtId="4" fontId="6" fillId="10" borderId="0" xfId="0" applyNumberFormat="1" applyFont="1" applyFill="1" applyAlignment="1">
      <alignment horizontal="center"/>
    </xf>
    <xf numFmtId="2" fontId="6" fillId="10" borderId="0" xfId="0" quotePrefix="1" applyNumberFormat="1" applyFont="1" applyFill="1"/>
    <xf numFmtId="0" fontId="1" fillId="10" borderId="0" xfId="0" applyFont="1" applyFill="1" applyAlignment="1">
      <alignment horizontal="center"/>
    </xf>
    <xf numFmtId="164" fontId="6" fillId="2" borderId="0" xfId="0" applyNumberFormat="1" applyFont="1" applyFill="1"/>
    <xf numFmtId="2" fontId="6" fillId="2" borderId="0" xfId="0" applyNumberFormat="1" applyFont="1" applyFill="1"/>
    <xf numFmtId="4" fontId="6" fillId="2" borderId="0" xfId="0" applyNumberFormat="1" applyFont="1" applyFill="1"/>
    <xf numFmtId="2" fontId="6" fillId="8" borderId="0" xfId="0" applyNumberFormat="1" applyFont="1" applyFill="1"/>
    <xf numFmtId="0" fontId="6" fillId="10" borderId="22" xfId="0" applyFont="1" applyFill="1" applyBorder="1" applyAlignment="1">
      <alignment horizontal="left"/>
    </xf>
    <xf numFmtId="2" fontId="17" fillId="12" borderId="13" xfId="0" applyNumberFormat="1" applyFont="1" applyFill="1" applyBorder="1" applyAlignment="1">
      <alignment vertical="center"/>
    </xf>
    <xf numFmtId="0" fontId="6" fillId="11" borderId="24" xfId="0" applyFont="1" applyFill="1" applyBorder="1" applyAlignment="1">
      <alignment horizontal="right"/>
    </xf>
    <xf numFmtId="4" fontId="6" fillId="2" borderId="51" xfId="0" applyNumberFormat="1" applyFont="1" applyFill="1" applyBorder="1" applyAlignment="1">
      <alignment horizontal="right"/>
    </xf>
    <xf numFmtId="4" fontId="11" fillId="3" borderId="38" xfId="0" applyNumberFormat="1" applyFont="1" applyFill="1" applyBorder="1" applyAlignment="1">
      <alignment horizontal="right"/>
    </xf>
    <xf numFmtId="2" fontId="6" fillId="11" borderId="47" xfId="0" applyNumberFormat="1" applyFont="1" applyFill="1" applyBorder="1"/>
    <xf numFmtId="0" fontId="6" fillId="0" borderId="7" xfId="0" applyFont="1" applyBorder="1"/>
    <xf numFmtId="0" fontId="1" fillId="8" borderId="0" xfId="0" applyFont="1" applyFill="1"/>
    <xf numFmtId="0" fontId="1" fillId="8" borderId="16" xfId="0" applyFont="1" applyFill="1" applyBorder="1"/>
    <xf numFmtId="0" fontId="1" fillId="8" borderId="15" xfId="0" applyFont="1" applyFill="1" applyBorder="1"/>
    <xf numFmtId="2" fontId="6" fillId="8" borderId="15" xfId="0" applyNumberFormat="1" applyFont="1" applyFill="1" applyBorder="1" applyAlignment="1">
      <alignment horizontal="center"/>
    </xf>
    <xf numFmtId="2" fontId="6" fillId="8" borderId="0" xfId="0" applyNumberFormat="1" applyFont="1" applyFill="1" applyAlignment="1">
      <alignment horizontal="center"/>
    </xf>
    <xf numFmtId="0" fontId="6" fillId="8" borderId="16" xfId="0" applyFont="1" applyFill="1" applyBorder="1"/>
    <xf numFmtId="0" fontId="6" fillId="11" borderId="51" xfId="0" applyFont="1" applyFill="1" applyBorder="1"/>
    <xf numFmtId="0" fontId="6" fillId="11" borderId="14" xfId="0" applyFont="1" applyFill="1" applyBorder="1" applyAlignment="1">
      <alignment horizontal="right"/>
    </xf>
    <xf numFmtId="0" fontId="6" fillId="11" borderId="52" xfId="0" applyFont="1" applyFill="1" applyBorder="1"/>
    <xf numFmtId="0" fontId="6" fillId="11" borderId="3" xfId="0" applyFont="1" applyFill="1" applyBorder="1" applyAlignment="1">
      <alignment horizontal="right"/>
    </xf>
    <xf numFmtId="0" fontId="6" fillId="8" borderId="18" xfId="0" applyFont="1" applyFill="1" applyBorder="1"/>
    <xf numFmtId="0" fontId="6" fillId="11" borderId="38" xfId="0" applyFont="1" applyFill="1" applyBorder="1"/>
    <xf numFmtId="0" fontId="6" fillId="11" borderId="0" xfId="0" applyFont="1" applyFill="1"/>
    <xf numFmtId="0" fontId="6" fillId="4" borderId="54" xfId="0" applyFont="1" applyFill="1" applyBorder="1"/>
    <xf numFmtId="0" fontId="6" fillId="4" borderId="34" xfId="0" applyFont="1" applyFill="1" applyBorder="1" applyAlignment="1">
      <alignment horizontal="right"/>
    </xf>
    <xf numFmtId="0" fontId="6" fillId="13" borderId="16" xfId="0" applyFont="1" applyFill="1" applyBorder="1" applyAlignment="1">
      <alignment horizontal="left"/>
    </xf>
    <xf numFmtId="0" fontId="6" fillId="13" borderId="22" xfId="0" applyFont="1" applyFill="1" applyBorder="1" applyAlignment="1">
      <alignment horizontal="left"/>
    </xf>
    <xf numFmtId="2" fontId="6" fillId="13" borderId="0" xfId="0" applyNumberFormat="1" applyFont="1" applyFill="1"/>
    <xf numFmtId="2" fontId="6" fillId="13" borderId="0" xfId="0" applyNumberFormat="1" applyFont="1" applyFill="1" applyAlignment="1">
      <alignment horizontal="left"/>
    </xf>
    <xf numFmtId="2" fontId="6" fillId="13" borderId="0" xfId="0" applyNumberFormat="1" applyFont="1" applyFill="1" applyAlignment="1">
      <alignment horizontal="center"/>
    </xf>
    <xf numFmtId="2" fontId="13" fillId="13" borderId="0" xfId="0" applyNumberFormat="1" applyFont="1" applyFill="1"/>
    <xf numFmtId="0" fontId="6" fillId="13" borderId="0" xfId="0" applyFont="1" applyFill="1"/>
    <xf numFmtId="2" fontId="1" fillId="13" borderId="0" xfId="0" applyNumberFormat="1" applyFont="1" applyFill="1"/>
    <xf numFmtId="2" fontId="6" fillId="13" borderId="0" xfId="0" quotePrefix="1" applyNumberFormat="1" applyFont="1" applyFill="1"/>
    <xf numFmtId="4" fontId="1" fillId="13" borderId="0" xfId="0" applyNumberFormat="1" applyFont="1" applyFill="1"/>
    <xf numFmtId="4" fontId="6" fillId="13" borderId="0" xfId="0" applyNumberFormat="1" applyFont="1" applyFill="1" applyAlignment="1">
      <alignment horizontal="right"/>
    </xf>
    <xf numFmtId="4" fontId="13" fillId="13" borderId="0" xfId="0" applyNumberFormat="1" applyFont="1" applyFill="1" applyAlignment="1">
      <alignment horizontal="center"/>
    </xf>
    <xf numFmtId="3" fontId="11" fillId="13" borderId="41" xfId="0" applyNumberFormat="1" applyFont="1" applyFill="1" applyBorder="1" applyAlignment="1">
      <alignment horizontal="center"/>
    </xf>
    <xf numFmtId="4" fontId="16" fillId="13" borderId="0" xfId="0" applyNumberFormat="1" applyFont="1" applyFill="1" applyAlignment="1">
      <alignment horizontal="center"/>
    </xf>
    <xf numFmtId="2" fontId="11" fillId="13" borderId="0" xfId="0" applyNumberFormat="1" applyFont="1" applyFill="1"/>
    <xf numFmtId="4" fontId="6" fillId="13" borderId="0" xfId="0" applyNumberFormat="1" applyFont="1" applyFill="1" applyAlignment="1">
      <alignment horizontal="center"/>
    </xf>
    <xf numFmtId="2" fontId="6" fillId="13" borderId="0" xfId="0" applyNumberFormat="1" applyFont="1" applyFill="1" applyAlignment="1">
      <alignment horizontal="right"/>
    </xf>
    <xf numFmtId="4" fontId="6" fillId="13" borderId="0" xfId="0" applyNumberFormat="1" applyFont="1" applyFill="1"/>
    <xf numFmtId="0" fontId="1" fillId="13" borderId="0" xfId="0" applyFont="1" applyFill="1" applyAlignment="1">
      <alignment horizontal="right" vertical="center"/>
    </xf>
    <xf numFmtId="2" fontId="1" fillId="13" borderId="0" xfId="0" applyNumberFormat="1" applyFont="1" applyFill="1" applyAlignment="1">
      <alignment horizontal="left" vertical="center"/>
    </xf>
    <xf numFmtId="0" fontId="1" fillId="13" borderId="0" xfId="0" applyFont="1" applyFill="1" applyAlignment="1">
      <alignment horizontal="center" vertical="center"/>
    </xf>
    <xf numFmtId="164" fontId="6" fillId="13" borderId="0" xfId="0" applyNumberFormat="1" applyFont="1" applyFill="1" applyAlignment="1">
      <alignment horizontal="right"/>
    </xf>
    <xf numFmtId="0" fontId="6" fillId="13" borderId="0" xfId="0" applyFont="1" applyFill="1" applyAlignment="1">
      <alignment horizontal="right"/>
    </xf>
    <xf numFmtId="164" fontId="6" fillId="13" borderId="0" xfId="0" applyNumberFormat="1" applyFont="1" applyFill="1"/>
    <xf numFmtId="164" fontId="11" fillId="13" borderId="0" xfId="0" applyNumberFormat="1" applyFont="1" applyFill="1"/>
    <xf numFmtId="164" fontId="1" fillId="13" borderId="0" xfId="0" applyNumberFormat="1" applyFont="1" applyFill="1" applyAlignment="1">
      <alignment horizontal="right"/>
    </xf>
    <xf numFmtId="0" fontId="1" fillId="13" borderId="0" xfId="0" applyFont="1" applyFill="1" applyAlignment="1">
      <alignment horizontal="center"/>
    </xf>
    <xf numFmtId="0" fontId="6" fillId="13" borderId="15" xfId="0" applyFont="1" applyFill="1" applyBorder="1"/>
    <xf numFmtId="0" fontId="6" fillId="13" borderId="20" xfId="0" applyFont="1" applyFill="1" applyBorder="1"/>
    <xf numFmtId="0" fontId="6" fillId="13" borderId="21" xfId="0" applyFont="1" applyFill="1" applyBorder="1" applyAlignment="1">
      <alignment horizontal="right"/>
    </xf>
    <xf numFmtId="0" fontId="6" fillId="13" borderId="21" xfId="0" applyFont="1" applyFill="1" applyBorder="1"/>
    <xf numFmtId="164" fontId="6" fillId="13" borderId="21" xfId="0" applyNumberFormat="1" applyFont="1" applyFill="1" applyBorder="1"/>
    <xf numFmtId="2" fontId="6" fillId="13" borderId="21" xfId="0" applyNumberFormat="1" applyFont="1" applyFill="1" applyBorder="1"/>
    <xf numFmtId="0" fontId="6" fillId="13" borderId="32" xfId="0" applyFont="1" applyFill="1" applyBorder="1"/>
    <xf numFmtId="0" fontId="6" fillId="13" borderId="32" xfId="0" applyFont="1" applyFill="1" applyBorder="1" applyAlignment="1">
      <alignment horizontal="right"/>
    </xf>
    <xf numFmtId="164" fontId="6" fillId="13" borderId="32" xfId="0" applyNumberFormat="1" applyFont="1" applyFill="1" applyBorder="1"/>
    <xf numFmtId="2" fontId="6" fillId="13" borderId="32" xfId="0" applyNumberFormat="1" applyFont="1" applyFill="1" applyBorder="1"/>
    <xf numFmtId="4" fontId="6" fillId="13" borderId="32" xfId="0" applyNumberFormat="1" applyFont="1" applyFill="1" applyBorder="1"/>
    <xf numFmtId="2" fontId="7" fillId="13" borderId="32" xfId="0" applyNumberFormat="1" applyFont="1" applyFill="1" applyBorder="1" applyAlignment="1">
      <alignment horizontal="left"/>
    </xf>
    <xf numFmtId="0" fontId="6" fillId="13" borderId="32" xfId="0" applyFont="1" applyFill="1" applyBorder="1" applyAlignment="1">
      <alignment horizontal="left"/>
    </xf>
    <xf numFmtId="0" fontId="6" fillId="13" borderId="55" xfId="0" applyFont="1" applyFill="1" applyBorder="1"/>
    <xf numFmtId="0" fontId="6" fillId="13" borderId="27" xfId="0" applyFont="1" applyFill="1" applyBorder="1" applyAlignment="1">
      <alignment horizontal="right"/>
    </xf>
    <xf numFmtId="0" fontId="6" fillId="13" borderId="27" xfId="0" applyFont="1" applyFill="1" applyBorder="1"/>
    <xf numFmtId="164" fontId="6" fillId="13" borderId="27" xfId="0" applyNumberFormat="1" applyFont="1" applyFill="1" applyBorder="1"/>
    <xf numFmtId="2" fontId="6" fillId="13" borderId="27" xfId="0" applyNumberFormat="1" applyFont="1" applyFill="1" applyBorder="1"/>
    <xf numFmtId="4" fontId="6" fillId="13" borderId="27" xfId="0" applyNumberFormat="1" applyFont="1" applyFill="1" applyBorder="1"/>
    <xf numFmtId="0" fontId="6" fillId="13" borderId="27" xfId="0" applyFont="1" applyFill="1" applyBorder="1" applyAlignment="1">
      <alignment horizontal="left"/>
    </xf>
    <xf numFmtId="0" fontId="6" fillId="13" borderId="28" xfId="0" applyFont="1" applyFill="1" applyBorder="1"/>
    <xf numFmtId="0" fontId="6" fillId="13" borderId="30" xfId="0" applyFont="1" applyFill="1" applyBorder="1"/>
    <xf numFmtId="0" fontId="6" fillId="13" borderId="18" xfId="0" applyFont="1" applyFill="1" applyBorder="1"/>
    <xf numFmtId="0" fontId="6" fillId="13" borderId="12" xfId="0" applyFont="1" applyFill="1" applyBorder="1" applyAlignment="1">
      <alignment horizontal="left"/>
    </xf>
    <xf numFmtId="0" fontId="6" fillId="13" borderId="17" xfId="0" applyFont="1" applyFill="1" applyBorder="1"/>
    <xf numFmtId="164" fontId="6" fillId="13" borderId="18" xfId="0" applyNumberFormat="1" applyFont="1" applyFill="1" applyBorder="1"/>
    <xf numFmtId="2" fontId="6" fillId="13" borderId="18" xfId="0" applyNumberFormat="1" applyFont="1" applyFill="1" applyBorder="1"/>
    <xf numFmtId="4" fontId="6" fillId="13" borderId="18" xfId="0" applyNumberFormat="1" applyFont="1" applyFill="1" applyBorder="1"/>
    <xf numFmtId="0" fontId="6" fillId="13" borderId="19" xfId="0" applyFont="1" applyFill="1" applyBorder="1" applyAlignment="1">
      <alignment horizontal="left"/>
    </xf>
    <xf numFmtId="0" fontId="1" fillId="13" borderId="0" xfId="0" applyFont="1" applyFill="1"/>
    <xf numFmtId="0" fontId="1" fillId="13" borderId="16" xfId="0" applyFont="1" applyFill="1" applyBorder="1"/>
    <xf numFmtId="2" fontId="6" fillId="13" borderId="16" xfId="0" applyNumberFormat="1" applyFont="1" applyFill="1" applyBorder="1"/>
    <xf numFmtId="0" fontId="6" fillId="13" borderId="21" xfId="0" applyFont="1" applyFill="1" applyBorder="1" applyAlignment="1">
      <alignment horizontal="left"/>
    </xf>
    <xf numFmtId="0" fontId="6" fillId="13" borderId="18" xfId="0" applyFont="1" applyFill="1" applyBorder="1" applyAlignment="1">
      <alignment horizontal="right"/>
    </xf>
    <xf numFmtId="164" fontId="6" fillId="13" borderId="17" xfId="0" applyNumberFormat="1" applyFont="1" applyFill="1" applyBorder="1"/>
    <xf numFmtId="2" fontId="6" fillId="13" borderId="0" xfId="0" applyNumberFormat="1" applyFont="1" applyFill="1" applyAlignment="1">
      <alignment vertical="justify"/>
    </xf>
    <xf numFmtId="2" fontId="6" fillId="13" borderId="0" xfId="0" applyNumberFormat="1" applyFont="1" applyFill="1" applyAlignment="1">
      <alignment horizontal="center" vertical="justify"/>
    </xf>
    <xf numFmtId="164" fontId="6" fillId="13" borderId="12" xfId="0" applyNumberFormat="1" applyFont="1" applyFill="1" applyBorder="1" applyAlignment="1">
      <alignment vertical="center"/>
    </xf>
    <xf numFmtId="2" fontId="6" fillId="13" borderId="21" xfId="0" applyNumberFormat="1" applyFont="1" applyFill="1" applyBorder="1" applyAlignment="1">
      <alignment vertical="center"/>
    </xf>
    <xf numFmtId="4" fontId="6" fillId="13" borderId="0" xfId="0" applyNumberFormat="1" applyFont="1" applyFill="1" applyAlignment="1">
      <alignment vertical="center"/>
    </xf>
    <xf numFmtId="4" fontId="6" fillId="13" borderId="21" xfId="0" applyNumberFormat="1" applyFont="1" applyFill="1" applyBorder="1"/>
    <xf numFmtId="0" fontId="6" fillId="13" borderId="33" xfId="0" applyFont="1" applyFill="1" applyBorder="1"/>
    <xf numFmtId="164" fontId="6" fillId="14" borderId="0" xfId="0" applyNumberFormat="1" applyFont="1" applyFill="1"/>
    <xf numFmtId="2" fontId="6" fillId="14" borderId="0" xfId="0" applyNumberFormat="1" applyFont="1" applyFill="1"/>
    <xf numFmtId="4" fontId="6" fillId="14" borderId="0" xfId="0" applyNumberFormat="1" applyFont="1" applyFill="1"/>
    <xf numFmtId="2" fontId="6" fillId="13" borderId="56" xfId="0" applyNumberFormat="1" applyFont="1" applyFill="1" applyBorder="1"/>
    <xf numFmtId="0" fontId="6" fillId="13" borderId="16" xfId="0" applyFont="1" applyFill="1" applyBorder="1"/>
    <xf numFmtId="0" fontId="6" fillId="11" borderId="54" xfId="0" applyFont="1" applyFill="1" applyBorder="1"/>
    <xf numFmtId="164" fontId="6" fillId="13" borderId="12" xfId="0" applyNumberFormat="1" applyFont="1" applyFill="1" applyBorder="1" applyAlignment="1">
      <alignment horizontal="center"/>
    </xf>
    <xf numFmtId="2" fontId="1" fillId="9" borderId="12" xfId="0" applyNumberFormat="1" applyFont="1" applyFill="1" applyBorder="1" applyAlignment="1">
      <alignment horizontal="center"/>
    </xf>
    <xf numFmtId="2" fontId="6" fillId="10" borderId="16" xfId="0" applyNumberFormat="1" applyFont="1" applyFill="1" applyBorder="1"/>
    <xf numFmtId="2" fontId="18" fillId="12" borderId="12" xfId="0" applyNumberFormat="1" applyFont="1" applyFill="1" applyBorder="1" applyAlignment="1">
      <alignment vertical="center"/>
    </xf>
    <xf numFmtId="0" fontId="6" fillId="0" borderId="54" xfId="0" applyFont="1" applyFill="1" applyBorder="1"/>
    <xf numFmtId="0" fontId="6" fillId="4" borderId="62" xfId="0" applyFont="1" applyFill="1" applyBorder="1"/>
    <xf numFmtId="0" fontId="6" fillId="8" borderId="63" xfId="0" applyFont="1" applyFill="1" applyBorder="1"/>
    <xf numFmtId="164" fontId="11" fillId="3" borderId="3" xfId="0" applyNumberFormat="1" applyFont="1" applyFill="1" applyBorder="1" applyAlignment="1">
      <alignment horizontal="center"/>
    </xf>
    <xf numFmtId="2" fontId="21" fillId="2" borderId="2" xfId="0" applyNumberFormat="1" applyFont="1" applyFill="1" applyBorder="1" applyAlignment="1">
      <alignment horizontal="center"/>
    </xf>
    <xf numFmtId="2" fontId="22" fillId="10" borderId="6" xfId="0" applyNumberFormat="1" applyFont="1" applyFill="1" applyBorder="1"/>
    <xf numFmtId="2" fontId="22" fillId="10" borderId="24" xfId="0" applyNumberFormat="1" applyFont="1" applyFill="1" applyBorder="1" applyAlignment="1">
      <alignment horizontal="center"/>
    </xf>
    <xf numFmtId="2" fontId="22" fillId="10" borderId="10" xfId="0" applyNumberFormat="1" applyFont="1" applyFill="1" applyBorder="1"/>
    <xf numFmtId="0" fontId="22" fillId="10" borderId="6" xfId="0" applyFont="1" applyFill="1" applyBorder="1"/>
    <xf numFmtId="2" fontId="22" fillId="10" borderId="3" xfId="0" applyNumberFormat="1" applyFont="1" applyFill="1" applyBorder="1" applyAlignment="1">
      <alignment horizontal="center"/>
    </xf>
    <xf numFmtId="2" fontId="22" fillId="10" borderId="1" xfId="0" applyNumberFormat="1" applyFont="1" applyFill="1" applyBorder="1"/>
    <xf numFmtId="0" fontId="10" fillId="11" borderId="24" xfId="0" applyFont="1" applyFill="1" applyBorder="1" applyAlignment="1">
      <alignment horizontal="center"/>
    </xf>
    <xf numFmtId="0" fontId="10" fillId="11" borderId="10" xfId="0" applyFont="1" applyFill="1" applyBorder="1" applyAlignment="1">
      <alignment horizontal="center"/>
    </xf>
    <xf numFmtId="2" fontId="1" fillId="7" borderId="18" xfId="0" applyNumberFormat="1" applyFont="1" applyFill="1" applyBorder="1" applyAlignment="1">
      <alignment horizontal="right" vertical="center"/>
    </xf>
    <xf numFmtId="2" fontId="1" fillId="7" borderId="0" xfId="0" applyNumberFormat="1" applyFont="1" applyFill="1" applyAlignment="1">
      <alignment horizontal="right" vertical="center"/>
    </xf>
    <xf numFmtId="2" fontId="1" fillId="7" borderId="21" xfId="0" applyNumberFormat="1" applyFont="1" applyFill="1" applyBorder="1" applyAlignment="1">
      <alignment horizontal="right" vertical="center"/>
    </xf>
    <xf numFmtId="2" fontId="1" fillId="9" borderId="12" xfId="0" applyNumberFormat="1" applyFont="1" applyFill="1" applyBorder="1" applyAlignment="1">
      <alignment horizontal="left"/>
    </xf>
    <xf numFmtId="2" fontId="1" fillId="9" borderId="13" xfId="0" applyNumberFormat="1" applyFont="1" applyFill="1" applyBorder="1" applyAlignment="1">
      <alignment horizontal="left"/>
    </xf>
    <xf numFmtId="2" fontId="6" fillId="2" borderId="11" xfId="0" applyNumberFormat="1" applyFont="1" applyFill="1" applyBorder="1" applyAlignment="1">
      <alignment horizontal="center"/>
    </xf>
    <xf numFmtId="2" fontId="6" fillId="2" borderId="38" xfId="0" applyNumberFormat="1" applyFont="1" applyFill="1" applyBorder="1" applyAlignment="1">
      <alignment horizontal="center"/>
    </xf>
    <xf numFmtId="2" fontId="6" fillId="2" borderId="25" xfId="0" applyNumberFormat="1" applyFont="1" applyFill="1" applyBorder="1" applyAlignment="1">
      <alignment horizontal="center"/>
    </xf>
    <xf numFmtId="2" fontId="6" fillId="2" borderId="50" xfId="0" applyNumberFormat="1" applyFont="1" applyFill="1" applyBorder="1" applyAlignment="1">
      <alignment horizontal="center"/>
    </xf>
    <xf numFmtId="2" fontId="6" fillId="10" borderId="0" xfId="0" applyNumberFormat="1" applyFont="1" applyFill="1" applyAlignment="1">
      <alignment horizontal="center"/>
    </xf>
    <xf numFmtId="2" fontId="6" fillId="10" borderId="16" xfId="0" applyNumberFormat="1" applyFont="1" applyFill="1" applyBorder="1" applyAlignment="1">
      <alignment horizontal="center"/>
    </xf>
    <xf numFmtId="2" fontId="6" fillId="2" borderId="36" xfId="0" applyNumberFormat="1" applyFont="1" applyFill="1" applyBorder="1" applyAlignment="1">
      <alignment horizontal="center"/>
    </xf>
    <xf numFmtId="2" fontId="6" fillId="2" borderId="37" xfId="0" applyNumberFormat="1" applyFont="1" applyFill="1" applyBorder="1" applyAlignment="1">
      <alignment horizontal="center"/>
    </xf>
    <xf numFmtId="2" fontId="10" fillId="11" borderId="24" xfId="0" applyNumberFormat="1" applyFont="1" applyFill="1" applyBorder="1" applyAlignment="1">
      <alignment horizontal="center"/>
    </xf>
    <xf numFmtId="2" fontId="10" fillId="11" borderId="10" xfId="0" applyNumberFormat="1" applyFont="1" applyFill="1" applyBorder="1" applyAlignment="1">
      <alignment horizontal="center"/>
    </xf>
    <xf numFmtId="0" fontId="1" fillId="9" borderId="12" xfId="0" applyFont="1" applyFill="1" applyBorder="1" applyAlignment="1">
      <alignment horizontal="center"/>
    </xf>
    <xf numFmtId="0" fontId="1" fillId="9" borderId="13" xfId="0" applyFont="1" applyFill="1" applyBorder="1" applyAlignment="1">
      <alignment horizontal="center"/>
    </xf>
    <xf numFmtId="2" fontId="6" fillId="13" borderId="0" xfId="0" applyNumberFormat="1" applyFont="1" applyFill="1" applyAlignment="1">
      <alignment horizontal="right"/>
    </xf>
    <xf numFmtId="0" fontId="1" fillId="13" borderId="0" xfId="0" applyFont="1" applyFill="1" applyAlignment="1">
      <alignment horizontal="center"/>
    </xf>
    <xf numFmtId="2" fontId="1" fillId="7" borderId="19" xfId="0" applyNumberFormat="1" applyFont="1" applyFill="1" applyBorder="1" applyAlignment="1">
      <alignment horizontal="left" vertical="center"/>
    </xf>
    <xf numFmtId="2" fontId="1" fillId="7" borderId="16" xfId="0" applyNumberFormat="1" applyFont="1" applyFill="1" applyBorder="1" applyAlignment="1">
      <alignment horizontal="left" vertical="center"/>
    </xf>
    <xf numFmtId="2" fontId="1" fillId="7" borderId="22" xfId="0" applyNumberFormat="1" applyFont="1" applyFill="1" applyBorder="1" applyAlignment="1">
      <alignment horizontal="left" vertical="center"/>
    </xf>
    <xf numFmtId="0" fontId="6" fillId="11" borderId="3" xfId="0" applyFont="1" applyFill="1" applyBorder="1" applyAlignment="1">
      <alignment horizontal="center"/>
    </xf>
    <xf numFmtId="0" fontId="6" fillId="11" borderId="1" xfId="0" applyFont="1" applyFill="1" applyBorder="1" applyAlignment="1">
      <alignment horizontal="center"/>
    </xf>
    <xf numFmtId="0" fontId="8" fillId="15" borderId="18" xfId="0" applyFont="1" applyFill="1" applyBorder="1" applyAlignment="1">
      <alignment horizontal="center" vertical="center"/>
    </xf>
    <xf numFmtId="0" fontId="8" fillId="15" borderId="19" xfId="0" applyFont="1" applyFill="1" applyBorder="1" applyAlignment="1">
      <alignment horizontal="center" vertical="center"/>
    </xf>
    <xf numFmtId="0" fontId="8" fillId="15" borderId="21" xfId="0" applyFont="1" applyFill="1" applyBorder="1" applyAlignment="1">
      <alignment horizontal="center" vertical="center"/>
    </xf>
    <xf numFmtId="0" fontId="8" fillId="15" borderId="22" xfId="0" applyFont="1" applyFill="1" applyBorder="1" applyAlignment="1">
      <alignment horizontal="center" vertical="center"/>
    </xf>
    <xf numFmtId="0" fontId="14" fillId="11" borderId="45" xfId="0" applyFont="1" applyFill="1" applyBorder="1" applyAlignment="1">
      <alignment horizontal="right"/>
    </xf>
    <xf numFmtId="0" fontId="14" fillId="11" borderId="52" xfId="0" applyFont="1" applyFill="1" applyBorder="1" applyAlignment="1">
      <alignment horizontal="right"/>
    </xf>
    <xf numFmtId="2" fontId="6" fillId="2" borderId="46" xfId="0" applyNumberFormat="1" applyFont="1" applyFill="1" applyBorder="1" applyAlignment="1">
      <alignment horizontal="center"/>
    </xf>
    <xf numFmtId="2" fontId="6" fillId="2" borderId="7" xfId="0" applyNumberFormat="1" applyFont="1" applyFill="1" applyBorder="1" applyAlignment="1">
      <alignment horizontal="center"/>
    </xf>
    <xf numFmtId="3" fontId="6" fillId="2" borderId="3" xfId="0" applyNumberFormat="1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2" fontId="1" fillId="9" borderId="34" xfId="0" applyNumberFormat="1" applyFont="1" applyFill="1" applyBorder="1" applyAlignment="1">
      <alignment horizontal="right"/>
    </xf>
    <xf numFmtId="2" fontId="1" fillId="9" borderId="12" xfId="0" applyNumberFormat="1" applyFont="1" applyFill="1" applyBorder="1" applyAlignment="1">
      <alignment horizontal="right"/>
    </xf>
    <xf numFmtId="0" fontId="9" fillId="11" borderId="14" xfId="0" applyFont="1" applyFill="1" applyBorder="1" applyAlignment="1">
      <alignment horizontal="center"/>
    </xf>
    <xf numFmtId="0" fontId="9" fillId="11" borderId="47" xfId="0" applyFont="1" applyFill="1" applyBorder="1" applyAlignment="1">
      <alignment horizontal="center"/>
    </xf>
    <xf numFmtId="2" fontId="20" fillId="2" borderId="7" xfId="0" applyNumberFormat="1" applyFont="1" applyFill="1" applyBorder="1" applyAlignment="1">
      <alignment horizontal="center"/>
    </xf>
    <xf numFmtId="2" fontId="20" fillId="2" borderId="23" xfId="0" applyNumberFormat="1" applyFont="1" applyFill="1" applyBorder="1" applyAlignment="1">
      <alignment horizontal="center"/>
    </xf>
    <xf numFmtId="2" fontId="6" fillId="13" borderId="0" xfId="0" applyNumberFormat="1" applyFont="1" applyFill="1" applyAlignment="1">
      <alignment horizontal="center"/>
    </xf>
    <xf numFmtId="2" fontId="6" fillId="13" borderId="16" xfId="0" applyNumberFormat="1" applyFont="1" applyFill="1" applyBorder="1" applyAlignment="1">
      <alignment horizontal="center"/>
    </xf>
    <xf numFmtId="2" fontId="6" fillId="12" borderId="34" xfId="0" applyNumberFormat="1" applyFont="1" applyFill="1" applyBorder="1" applyAlignment="1">
      <alignment horizontal="right" vertical="justify"/>
    </xf>
    <xf numFmtId="2" fontId="6" fillId="12" borderId="12" xfId="0" applyNumberFormat="1" applyFont="1" applyFill="1" applyBorder="1" applyAlignment="1">
      <alignment horizontal="right" vertical="justify"/>
    </xf>
    <xf numFmtId="2" fontId="1" fillId="7" borderId="18" xfId="0" applyNumberFormat="1" applyFont="1" applyFill="1" applyBorder="1" applyAlignment="1">
      <alignment horizontal="left" vertical="center"/>
    </xf>
    <xf numFmtId="2" fontId="1" fillId="7" borderId="0" xfId="0" applyNumberFormat="1" applyFont="1" applyFill="1" applyAlignment="1">
      <alignment horizontal="left" vertical="center"/>
    </xf>
    <xf numFmtId="2" fontId="1" fillId="7" borderId="21" xfId="0" applyNumberFormat="1" applyFont="1" applyFill="1" applyBorder="1" applyAlignment="1">
      <alignment horizontal="left" vertical="center"/>
    </xf>
    <xf numFmtId="2" fontId="6" fillId="2" borderId="57" xfId="0" applyNumberFormat="1" applyFont="1" applyFill="1" applyBorder="1" applyAlignment="1">
      <alignment horizontal="center" vertical="justify"/>
    </xf>
    <xf numFmtId="2" fontId="6" fillId="2" borderId="58" xfId="0" applyNumberFormat="1" applyFont="1" applyFill="1" applyBorder="1" applyAlignment="1">
      <alignment horizontal="center" vertical="justify"/>
    </xf>
    <xf numFmtId="2" fontId="6" fillId="2" borderId="59" xfId="0" applyNumberFormat="1" applyFont="1" applyFill="1" applyBorder="1" applyAlignment="1">
      <alignment horizontal="center" vertical="justify"/>
    </xf>
    <xf numFmtId="4" fontId="6" fillId="13" borderId="0" xfId="0" applyNumberFormat="1" applyFont="1" applyFill="1" applyAlignment="1">
      <alignment horizontal="center" vertical="center" wrapText="1"/>
    </xf>
    <xf numFmtId="2" fontId="6" fillId="13" borderId="0" xfId="0" applyNumberFormat="1" applyFont="1" applyFill="1" applyAlignment="1">
      <alignment horizontal="left"/>
    </xf>
    <xf numFmtId="2" fontId="1" fillId="13" borderId="0" xfId="0" applyNumberFormat="1" applyFont="1" applyFill="1" applyAlignment="1">
      <alignment horizontal="left"/>
    </xf>
    <xf numFmtId="2" fontId="6" fillId="5" borderId="39" xfId="0" applyNumberFormat="1" applyFont="1" applyFill="1" applyBorder="1" applyAlignment="1">
      <alignment horizontal="center"/>
    </xf>
    <xf numFmtId="2" fontId="6" fillId="5" borderId="53" xfId="0" applyNumberFormat="1" applyFont="1" applyFill="1" applyBorder="1" applyAlignment="1">
      <alignment horizontal="center"/>
    </xf>
    <xf numFmtId="2" fontId="6" fillId="5" borderId="60" xfId="0" applyNumberFormat="1" applyFont="1" applyFill="1" applyBorder="1" applyAlignment="1">
      <alignment horizontal="center"/>
    </xf>
    <xf numFmtId="2" fontId="6" fillId="5" borderId="34" xfId="0" applyNumberFormat="1" applyFont="1" applyFill="1" applyBorder="1" applyAlignment="1">
      <alignment horizontal="center" vertical="justify"/>
    </xf>
    <xf numFmtId="2" fontId="6" fillId="5" borderId="12" xfId="0" applyNumberFormat="1" applyFont="1" applyFill="1" applyBorder="1" applyAlignment="1">
      <alignment horizontal="center" vertical="justify"/>
    </xf>
    <xf numFmtId="2" fontId="6" fillId="5" borderId="13" xfId="0" applyNumberFormat="1" applyFont="1" applyFill="1" applyBorder="1" applyAlignment="1">
      <alignment horizontal="center" vertical="justify"/>
    </xf>
    <xf numFmtId="0" fontId="20" fillId="2" borderId="24" xfId="0" applyFont="1" applyFill="1" applyBorder="1" applyAlignment="1">
      <alignment horizontal="center"/>
    </xf>
    <xf numFmtId="0" fontId="20" fillId="2" borderId="10" xfId="0" applyFont="1" applyFill="1" applyBorder="1" applyAlignment="1">
      <alignment horizontal="center"/>
    </xf>
    <xf numFmtId="0" fontId="21" fillId="2" borderId="24" xfId="0" applyFont="1" applyFill="1" applyBorder="1" applyAlignment="1">
      <alignment horizontal="center"/>
    </xf>
    <xf numFmtId="0" fontId="21" fillId="2" borderId="10" xfId="0" applyFont="1" applyFill="1" applyBorder="1" applyAlignment="1">
      <alignment horizontal="center"/>
    </xf>
    <xf numFmtId="2" fontId="6" fillId="2" borderId="61" xfId="0" applyNumberFormat="1" applyFont="1" applyFill="1" applyBorder="1" applyAlignment="1">
      <alignment horizontal="center" vertical="justify"/>
    </xf>
    <xf numFmtId="0" fontId="1" fillId="10" borderId="0" xfId="0" applyFont="1" applyFill="1" applyAlignment="1">
      <alignment horizontal="center"/>
    </xf>
    <xf numFmtId="0" fontId="8" fillId="6" borderId="17" xfId="0" applyFont="1" applyFill="1" applyBorder="1" applyAlignment="1">
      <alignment horizontal="center" vertical="center"/>
    </xf>
    <xf numFmtId="0" fontId="8" fillId="6" borderId="18" xfId="0" applyFont="1" applyFill="1" applyBorder="1" applyAlignment="1">
      <alignment horizontal="center" vertical="center"/>
    </xf>
    <xf numFmtId="0" fontId="8" fillId="6" borderId="19" xfId="0" applyFont="1" applyFill="1" applyBorder="1" applyAlignment="1">
      <alignment horizontal="center" vertical="center"/>
    </xf>
    <xf numFmtId="0" fontId="8" fillId="6" borderId="20" xfId="0" applyFont="1" applyFill="1" applyBorder="1" applyAlignment="1">
      <alignment horizontal="center" vertical="center"/>
    </xf>
    <xf numFmtId="0" fontId="8" fillId="6" borderId="21" xfId="0" applyFont="1" applyFill="1" applyBorder="1" applyAlignment="1">
      <alignment horizontal="center" vertical="center"/>
    </xf>
    <xf numFmtId="0" fontId="8" fillId="6" borderId="22" xfId="0" applyFont="1" applyFill="1" applyBorder="1" applyAlignment="1">
      <alignment horizontal="center" vertical="center"/>
    </xf>
    <xf numFmtId="2" fontId="6" fillId="5" borderId="40" xfId="0" applyNumberFormat="1" applyFont="1" applyFill="1" applyBorder="1" applyAlignment="1">
      <alignment horizontal="center"/>
    </xf>
    <xf numFmtId="0" fontId="20" fillId="2" borderId="43" xfId="0" applyFont="1" applyFill="1" applyBorder="1" applyAlignment="1">
      <alignment horizontal="center"/>
    </xf>
    <xf numFmtId="0" fontId="20" fillId="2" borderId="44" xfId="0" applyFont="1" applyFill="1" applyBorder="1" applyAlignment="1">
      <alignment horizontal="center"/>
    </xf>
    <xf numFmtId="2" fontId="1" fillId="7" borderId="17" xfId="0" applyNumberFormat="1" applyFont="1" applyFill="1" applyBorder="1" applyAlignment="1">
      <alignment horizontal="right" vertical="center"/>
    </xf>
    <xf numFmtId="2" fontId="1" fillId="7" borderId="15" xfId="0" applyNumberFormat="1" applyFont="1" applyFill="1" applyBorder="1" applyAlignment="1">
      <alignment horizontal="right" vertical="center"/>
    </xf>
    <xf numFmtId="2" fontId="1" fillId="7" borderId="20" xfId="0" applyNumberFormat="1" applyFont="1" applyFill="1" applyBorder="1" applyAlignment="1">
      <alignment horizontal="right" vertical="center"/>
    </xf>
    <xf numFmtId="2" fontId="20" fillId="2" borderId="24" xfId="0" applyNumberFormat="1" applyFont="1" applyFill="1" applyBorder="1" applyAlignment="1">
      <alignment horizontal="center"/>
    </xf>
    <xf numFmtId="2" fontId="20" fillId="2" borderId="10" xfId="0" applyNumberFormat="1" applyFont="1" applyFill="1" applyBorder="1" applyAlignment="1">
      <alignment horizontal="center"/>
    </xf>
    <xf numFmtId="3" fontId="6" fillId="2" borderId="38" xfId="0" applyNumberFormat="1" applyFont="1" applyFill="1" applyBorder="1" applyAlignment="1">
      <alignment horizontal="center"/>
    </xf>
    <xf numFmtId="3" fontId="6" fillId="2" borderId="11" xfId="0" applyNumberFormat="1" applyFont="1" applyFill="1" applyBorder="1" applyAlignment="1">
      <alignment horizontal="center"/>
    </xf>
    <xf numFmtId="2" fontId="6" fillId="2" borderId="35" xfId="0" applyNumberFormat="1" applyFont="1" applyFill="1" applyBorder="1" applyAlignment="1">
      <alignment horizontal="center"/>
    </xf>
    <xf numFmtId="2" fontId="6" fillId="2" borderId="21" xfId="0" applyNumberFormat="1" applyFont="1" applyFill="1" applyBorder="1" applyAlignment="1">
      <alignment horizontal="center"/>
    </xf>
    <xf numFmtId="2" fontId="6" fillId="2" borderId="22" xfId="0" applyNumberFormat="1" applyFont="1" applyFill="1" applyBorder="1" applyAlignment="1">
      <alignment horizontal="center"/>
    </xf>
    <xf numFmtId="2" fontId="6" fillId="10" borderId="0" xfId="0" applyNumberFormat="1" applyFont="1" applyFill="1" applyAlignment="1">
      <alignment horizontal="right"/>
    </xf>
    <xf numFmtId="0" fontId="19" fillId="0" borderId="40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4" fontId="6" fillId="10" borderId="0" xfId="0" applyNumberFormat="1" applyFont="1" applyFill="1" applyAlignment="1">
      <alignment horizontal="center" vertical="center" wrapText="1"/>
    </xf>
    <xf numFmtId="2" fontId="1" fillId="10" borderId="0" xfId="0" applyNumberFormat="1" applyFont="1" applyFill="1" applyBorder="1"/>
    <xf numFmtId="2" fontId="22" fillId="10" borderId="0" xfId="0" applyNumberFormat="1" applyFont="1" applyFill="1" applyBorder="1"/>
    <xf numFmtId="2" fontId="22" fillId="10" borderId="0" xfId="0" applyNumberFormat="1" applyFont="1" applyFill="1" applyBorder="1" applyAlignment="1">
      <alignment horizontal="center"/>
    </xf>
    <xf numFmtId="0" fontId="6" fillId="10" borderId="0" xfId="0" applyFont="1" applyFill="1" applyBorder="1" applyAlignment="1">
      <alignment horizontal="left"/>
    </xf>
    <xf numFmtId="2" fontId="22" fillId="10" borderId="24" xfId="0" applyNumberFormat="1" applyFont="1" applyFill="1" applyBorder="1"/>
    <xf numFmtId="2" fontId="22" fillId="10" borderId="5" xfId="0" applyNumberFormat="1" applyFont="1" applyFill="1" applyBorder="1" applyAlignment="1">
      <alignment horizontal="center"/>
    </xf>
    <xf numFmtId="2" fontId="22" fillId="10" borderId="7" xfId="0" applyNumberFormat="1" applyFont="1" applyFill="1" applyBorder="1" applyAlignment="1">
      <alignment horizontal="center"/>
    </xf>
    <xf numFmtId="2" fontId="22" fillId="10" borderId="23" xfId="0" applyNumberFormat="1" applyFont="1" applyFill="1" applyBorder="1" applyAlignment="1">
      <alignment horizontal="center"/>
    </xf>
    <xf numFmtId="2" fontId="22" fillId="10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335280</xdr:colOff>
      <xdr:row>32</xdr:row>
      <xdr:rowOff>83820</xdr:rowOff>
    </xdr:from>
    <xdr:to>
      <xdr:col>11</xdr:col>
      <xdr:colOff>0</xdr:colOff>
      <xdr:row>32</xdr:row>
      <xdr:rowOff>99060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>
          <a:spLocks noChangeShapeType="1"/>
        </xdr:cNvSpPr>
      </xdr:nvSpPr>
      <xdr:spPr bwMode="auto">
        <a:xfrm flipH="1" flipV="1">
          <a:off x="3802380" y="6400800"/>
          <a:ext cx="1455420" cy="1524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7620</xdr:colOff>
      <xdr:row>32</xdr:row>
      <xdr:rowOff>63500</xdr:rowOff>
    </xdr:from>
    <xdr:to>
      <xdr:col>14</xdr:col>
      <xdr:colOff>381000</xdr:colOff>
      <xdr:row>32</xdr:row>
      <xdr:rowOff>83820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>
          <a:spLocks noChangeShapeType="1"/>
        </xdr:cNvSpPr>
      </xdr:nvSpPr>
      <xdr:spPr bwMode="auto">
        <a:xfrm flipV="1">
          <a:off x="7094220" y="6426200"/>
          <a:ext cx="2151380" cy="2032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251460</xdr:colOff>
      <xdr:row>32</xdr:row>
      <xdr:rowOff>45720</xdr:rowOff>
    </xdr:from>
    <xdr:to>
      <xdr:col>9</xdr:col>
      <xdr:colOff>335280</xdr:colOff>
      <xdr:row>32</xdr:row>
      <xdr:rowOff>129540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>
          <a:spLocks noChangeArrowheads="1"/>
        </xdr:cNvSpPr>
      </xdr:nvSpPr>
      <xdr:spPr bwMode="auto">
        <a:xfrm>
          <a:off x="3718560" y="6362700"/>
          <a:ext cx="83820" cy="8382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335280</xdr:colOff>
      <xdr:row>32</xdr:row>
      <xdr:rowOff>114300</xdr:rowOff>
    </xdr:from>
    <xdr:to>
      <xdr:col>9</xdr:col>
      <xdr:colOff>335280</xdr:colOff>
      <xdr:row>37</xdr:row>
      <xdr:rowOff>68580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>
          <a:spLocks noChangeShapeType="1"/>
        </xdr:cNvSpPr>
      </xdr:nvSpPr>
      <xdr:spPr bwMode="auto">
        <a:xfrm>
          <a:off x="3802380" y="6431280"/>
          <a:ext cx="0" cy="8001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33</xdr:row>
      <xdr:rowOff>83820</xdr:rowOff>
    </xdr:from>
    <xdr:to>
      <xdr:col>10</xdr:col>
      <xdr:colOff>0</xdr:colOff>
      <xdr:row>33</xdr:row>
      <xdr:rowOff>83820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>
          <a:spLocks noChangeShapeType="1"/>
        </xdr:cNvSpPr>
      </xdr:nvSpPr>
      <xdr:spPr bwMode="auto">
        <a:xfrm>
          <a:off x="4396740" y="65760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335280</xdr:colOff>
      <xdr:row>33</xdr:row>
      <xdr:rowOff>99060</xdr:rowOff>
    </xdr:from>
    <xdr:to>
      <xdr:col>9</xdr:col>
      <xdr:colOff>541020</xdr:colOff>
      <xdr:row>33</xdr:row>
      <xdr:rowOff>99060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>
          <a:spLocks noChangeShapeType="1"/>
        </xdr:cNvSpPr>
      </xdr:nvSpPr>
      <xdr:spPr bwMode="auto">
        <a:xfrm flipH="1">
          <a:off x="3802380" y="6591300"/>
          <a:ext cx="2057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0</xdr:colOff>
      <xdr:row>32</xdr:row>
      <xdr:rowOff>144780</xdr:rowOff>
    </xdr:from>
    <xdr:to>
      <xdr:col>11</xdr:col>
      <xdr:colOff>0</xdr:colOff>
      <xdr:row>37</xdr:row>
      <xdr:rowOff>45720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>
          <a:spLocks noChangeShapeType="1"/>
        </xdr:cNvSpPr>
      </xdr:nvSpPr>
      <xdr:spPr bwMode="auto">
        <a:xfrm>
          <a:off x="5257800" y="6461760"/>
          <a:ext cx="0" cy="7467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365760</xdr:colOff>
      <xdr:row>33</xdr:row>
      <xdr:rowOff>91440</xdr:rowOff>
    </xdr:from>
    <xdr:to>
      <xdr:col>11</xdr:col>
      <xdr:colOff>0</xdr:colOff>
      <xdr:row>33</xdr:row>
      <xdr:rowOff>91440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>
          <a:spLocks noChangeShapeType="1"/>
        </xdr:cNvSpPr>
      </xdr:nvSpPr>
      <xdr:spPr bwMode="auto">
        <a:xfrm>
          <a:off x="4762500" y="6583680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7620</xdr:colOff>
      <xdr:row>32</xdr:row>
      <xdr:rowOff>167640</xdr:rowOff>
    </xdr:from>
    <xdr:to>
      <xdr:col>12</xdr:col>
      <xdr:colOff>7620</xdr:colOff>
      <xdr:row>35</xdr:row>
      <xdr:rowOff>144780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>
          <a:spLocks noChangeShapeType="1"/>
        </xdr:cNvSpPr>
      </xdr:nvSpPr>
      <xdr:spPr bwMode="auto">
        <a:xfrm>
          <a:off x="6156960" y="6484620"/>
          <a:ext cx="0" cy="4876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388620</xdr:colOff>
      <xdr:row>32</xdr:row>
      <xdr:rowOff>35560</xdr:rowOff>
    </xdr:from>
    <xdr:to>
      <xdr:col>14</xdr:col>
      <xdr:colOff>388620</xdr:colOff>
      <xdr:row>37</xdr:row>
      <xdr:rowOff>73660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>
          <a:spLocks noChangeShapeType="1"/>
        </xdr:cNvSpPr>
      </xdr:nvSpPr>
      <xdr:spPr bwMode="auto">
        <a:xfrm flipV="1">
          <a:off x="9253220" y="6398260"/>
          <a:ext cx="0" cy="1041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7620</xdr:colOff>
      <xdr:row>33</xdr:row>
      <xdr:rowOff>106680</xdr:rowOff>
    </xdr:from>
    <xdr:to>
      <xdr:col>12</xdr:col>
      <xdr:colOff>594360</xdr:colOff>
      <xdr:row>33</xdr:row>
      <xdr:rowOff>106680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>
          <a:spLocks noChangeShapeType="1"/>
        </xdr:cNvSpPr>
      </xdr:nvSpPr>
      <xdr:spPr bwMode="auto">
        <a:xfrm flipH="1">
          <a:off x="6156960" y="6598920"/>
          <a:ext cx="5867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403860</xdr:colOff>
      <xdr:row>33</xdr:row>
      <xdr:rowOff>129540</xdr:rowOff>
    </xdr:from>
    <xdr:to>
      <xdr:col>14</xdr:col>
      <xdr:colOff>403860</xdr:colOff>
      <xdr:row>33</xdr:row>
      <xdr:rowOff>129540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>
          <a:spLocks noChangeShapeType="1"/>
        </xdr:cNvSpPr>
      </xdr:nvSpPr>
      <xdr:spPr bwMode="auto">
        <a:xfrm>
          <a:off x="8531860" y="6695440"/>
          <a:ext cx="736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0</xdr:colOff>
      <xdr:row>37</xdr:row>
      <xdr:rowOff>160020</xdr:rowOff>
    </xdr:from>
    <xdr:to>
      <xdr:col>18</xdr:col>
      <xdr:colOff>0</xdr:colOff>
      <xdr:row>42</xdr:row>
      <xdr:rowOff>76200</xdr:rowOff>
    </xdr:to>
    <xdr:sp macro="" textlink="">
      <xdr:nvSpPr>
        <xdr:cNvPr id="14" name="Text Box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3467100" y="7322820"/>
          <a:ext cx="5539740" cy="754380"/>
        </a:xfrm>
        <a:prstGeom prst="rect">
          <a:avLst/>
        </a:prstGeom>
        <a:solidFill>
          <a:srgbClr val="CC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La X de entrada exterior será capacitiva (el tramo es menor de 1/4 de onda) y debe ser igual a la suma de los valores absolutos  de las reactancias del tope del tramo interior (capacitiva) y la reactancia (inductiva) que presenta la carga combinada de la trampa.</a:t>
          </a: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[X de entrada exterior=X tope interior + X carga]</a:t>
          </a:r>
        </a:p>
      </xdr:txBody>
    </xdr:sp>
    <xdr:clientData/>
  </xdr:twoCellAnchor>
  <xdr:twoCellAnchor>
    <xdr:from>
      <xdr:col>11</xdr:col>
      <xdr:colOff>60960</xdr:colOff>
      <xdr:row>30</xdr:row>
      <xdr:rowOff>83820</xdr:rowOff>
    </xdr:from>
    <xdr:to>
      <xdr:col>11</xdr:col>
      <xdr:colOff>251460</xdr:colOff>
      <xdr:row>31</xdr:row>
      <xdr:rowOff>129540</xdr:rowOff>
    </xdr:to>
    <xdr:sp macro="" textlink="">
      <xdr:nvSpPr>
        <xdr:cNvPr id="15" name="Line 18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>
          <a:spLocks noChangeShapeType="1"/>
        </xdr:cNvSpPr>
      </xdr:nvSpPr>
      <xdr:spPr bwMode="auto">
        <a:xfrm flipH="1">
          <a:off x="6019800" y="6004560"/>
          <a:ext cx="190500" cy="2438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335280</xdr:colOff>
      <xdr:row>34</xdr:row>
      <xdr:rowOff>99060</xdr:rowOff>
    </xdr:from>
    <xdr:to>
      <xdr:col>9</xdr:col>
      <xdr:colOff>723900</xdr:colOff>
      <xdr:row>34</xdr:row>
      <xdr:rowOff>99060</xdr:rowOff>
    </xdr:to>
    <xdr:sp macro="" textlink="">
      <xdr:nvSpPr>
        <xdr:cNvPr id="16" name="Line 11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>
          <a:spLocks noChangeShapeType="1"/>
        </xdr:cNvSpPr>
      </xdr:nvSpPr>
      <xdr:spPr bwMode="auto">
        <a:xfrm flipH="1">
          <a:off x="3802380" y="6758940"/>
          <a:ext cx="3886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22860</xdr:colOff>
      <xdr:row>35</xdr:row>
      <xdr:rowOff>99060</xdr:rowOff>
    </xdr:from>
    <xdr:to>
      <xdr:col>12</xdr:col>
      <xdr:colOff>746760</xdr:colOff>
      <xdr:row>35</xdr:row>
      <xdr:rowOff>99060</xdr:rowOff>
    </xdr:to>
    <xdr:sp macro="" textlink="">
      <xdr:nvSpPr>
        <xdr:cNvPr id="17" name="Line 11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>
          <a:spLocks noChangeShapeType="1"/>
        </xdr:cNvSpPr>
      </xdr:nvSpPr>
      <xdr:spPr bwMode="auto">
        <a:xfrm flipH="1" flipV="1">
          <a:off x="6172200" y="6926580"/>
          <a:ext cx="723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13</xdr:col>
      <xdr:colOff>139700</xdr:colOff>
      <xdr:row>35</xdr:row>
      <xdr:rowOff>96520</xdr:rowOff>
    </xdr:from>
    <xdr:to>
      <xdr:col>14</xdr:col>
      <xdr:colOff>414020</xdr:colOff>
      <xdr:row>35</xdr:row>
      <xdr:rowOff>101600</xdr:rowOff>
    </xdr:to>
    <xdr:sp macro="" textlink="">
      <xdr:nvSpPr>
        <xdr:cNvPr id="18" name="Line 11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>
          <a:spLocks noChangeShapeType="1"/>
        </xdr:cNvSpPr>
      </xdr:nvSpPr>
      <xdr:spPr bwMode="auto">
        <a:xfrm flipV="1">
          <a:off x="8267700" y="7068820"/>
          <a:ext cx="1010920" cy="50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60960</xdr:colOff>
      <xdr:row>34</xdr:row>
      <xdr:rowOff>120832</xdr:rowOff>
    </xdr:from>
    <xdr:to>
      <xdr:col>11</xdr:col>
      <xdr:colOff>482237</xdr:colOff>
      <xdr:row>34</xdr:row>
      <xdr:rowOff>120832</xdr:rowOff>
    </xdr:to>
    <xdr:sp macro="" textlink="">
      <xdr:nvSpPr>
        <xdr:cNvPr id="19" name="Line 11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>
          <a:spLocks noChangeShapeType="1"/>
        </xdr:cNvSpPr>
      </xdr:nvSpPr>
      <xdr:spPr bwMode="auto">
        <a:xfrm flipH="1">
          <a:off x="6189617" y="6848203"/>
          <a:ext cx="42127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1045028</xdr:colOff>
      <xdr:row>34</xdr:row>
      <xdr:rowOff>97972</xdr:rowOff>
    </xdr:from>
    <xdr:to>
      <xdr:col>12</xdr:col>
      <xdr:colOff>22859</xdr:colOff>
      <xdr:row>34</xdr:row>
      <xdr:rowOff>99060</xdr:rowOff>
    </xdr:to>
    <xdr:sp macro="" textlink="">
      <xdr:nvSpPr>
        <xdr:cNvPr id="20" name="Line 11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>
          <a:spLocks noChangeShapeType="1"/>
        </xdr:cNvSpPr>
      </xdr:nvSpPr>
      <xdr:spPr bwMode="auto">
        <a:xfrm>
          <a:off x="7173685" y="6825343"/>
          <a:ext cx="447403" cy="108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175260</xdr:colOff>
      <xdr:row>34</xdr:row>
      <xdr:rowOff>91440</xdr:rowOff>
    </xdr:from>
    <xdr:to>
      <xdr:col>11</xdr:col>
      <xdr:colOff>0</xdr:colOff>
      <xdr:row>34</xdr:row>
      <xdr:rowOff>91440</xdr:rowOff>
    </xdr:to>
    <xdr:sp macro="" textlink="">
      <xdr:nvSpPr>
        <xdr:cNvPr id="21" name="Line 11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>
          <a:spLocks noChangeShapeType="1"/>
        </xdr:cNvSpPr>
      </xdr:nvSpPr>
      <xdr:spPr bwMode="auto">
        <a:xfrm>
          <a:off x="4572000" y="6751320"/>
          <a:ext cx="685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11</xdr:col>
      <xdr:colOff>1023258</xdr:colOff>
      <xdr:row>34</xdr:row>
      <xdr:rowOff>99060</xdr:rowOff>
    </xdr:from>
    <xdr:to>
      <xdr:col>12</xdr:col>
      <xdr:colOff>26126</xdr:colOff>
      <xdr:row>34</xdr:row>
      <xdr:rowOff>108858</xdr:rowOff>
    </xdr:to>
    <xdr:sp macro="" textlink="">
      <xdr:nvSpPr>
        <xdr:cNvPr id="22" name="Line 11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>
          <a:spLocks noChangeShapeType="1"/>
        </xdr:cNvSpPr>
      </xdr:nvSpPr>
      <xdr:spPr bwMode="auto">
        <a:xfrm flipV="1">
          <a:off x="7151915" y="6826431"/>
          <a:ext cx="472440" cy="979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28</xdr:col>
      <xdr:colOff>335280</xdr:colOff>
      <xdr:row>32</xdr:row>
      <xdr:rowOff>83820</xdr:rowOff>
    </xdr:from>
    <xdr:to>
      <xdr:col>30</xdr:col>
      <xdr:colOff>0</xdr:colOff>
      <xdr:row>32</xdr:row>
      <xdr:rowOff>99060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2A5D7667-48BA-4652-BE69-47C87B3B0D56}"/>
            </a:ext>
          </a:extLst>
        </xdr:cNvPr>
        <xdr:cNvSpPr>
          <a:spLocks noChangeShapeType="1"/>
        </xdr:cNvSpPr>
      </xdr:nvSpPr>
      <xdr:spPr bwMode="auto">
        <a:xfrm flipH="1" flipV="1">
          <a:off x="4386580" y="6459220"/>
          <a:ext cx="1569720" cy="1524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7620</xdr:colOff>
      <xdr:row>32</xdr:row>
      <xdr:rowOff>63500</xdr:rowOff>
    </xdr:from>
    <xdr:to>
      <xdr:col>33</xdr:col>
      <xdr:colOff>381000</xdr:colOff>
      <xdr:row>32</xdr:row>
      <xdr:rowOff>83820</xdr:rowOff>
    </xdr:to>
    <xdr:sp macro="" textlink="">
      <xdr:nvSpPr>
        <xdr:cNvPr id="24" name="Line 2">
          <a:extLst>
            <a:ext uri="{FF2B5EF4-FFF2-40B4-BE49-F238E27FC236}">
              <a16:creationId xmlns:a16="http://schemas.microsoft.com/office/drawing/2014/main" id="{49BDCD7B-E2CD-4EC2-910D-B43F894B9761}"/>
            </a:ext>
          </a:extLst>
        </xdr:cNvPr>
        <xdr:cNvSpPr>
          <a:spLocks noChangeShapeType="1"/>
        </xdr:cNvSpPr>
      </xdr:nvSpPr>
      <xdr:spPr bwMode="auto">
        <a:xfrm flipV="1">
          <a:off x="7094220" y="6438900"/>
          <a:ext cx="2151380" cy="2032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251460</xdr:colOff>
      <xdr:row>32</xdr:row>
      <xdr:rowOff>45720</xdr:rowOff>
    </xdr:from>
    <xdr:to>
      <xdr:col>28</xdr:col>
      <xdr:colOff>335280</xdr:colOff>
      <xdr:row>32</xdr:row>
      <xdr:rowOff>129540</xdr:rowOff>
    </xdr:to>
    <xdr:sp macro="" textlink="">
      <xdr:nvSpPr>
        <xdr:cNvPr id="25" name="Oval 3">
          <a:extLst>
            <a:ext uri="{FF2B5EF4-FFF2-40B4-BE49-F238E27FC236}">
              <a16:creationId xmlns:a16="http://schemas.microsoft.com/office/drawing/2014/main" id="{DA3481BF-AFA1-4FFA-9214-5EF04682D6FE}"/>
            </a:ext>
          </a:extLst>
        </xdr:cNvPr>
        <xdr:cNvSpPr>
          <a:spLocks noChangeArrowheads="1"/>
        </xdr:cNvSpPr>
      </xdr:nvSpPr>
      <xdr:spPr bwMode="auto">
        <a:xfrm>
          <a:off x="4302760" y="6421120"/>
          <a:ext cx="83820" cy="8382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28</xdr:col>
      <xdr:colOff>335280</xdr:colOff>
      <xdr:row>32</xdr:row>
      <xdr:rowOff>114300</xdr:rowOff>
    </xdr:from>
    <xdr:to>
      <xdr:col>28</xdr:col>
      <xdr:colOff>335280</xdr:colOff>
      <xdr:row>37</xdr:row>
      <xdr:rowOff>68580</xdr:rowOff>
    </xdr:to>
    <xdr:sp macro="" textlink="">
      <xdr:nvSpPr>
        <xdr:cNvPr id="26" name="Line 4">
          <a:extLst>
            <a:ext uri="{FF2B5EF4-FFF2-40B4-BE49-F238E27FC236}">
              <a16:creationId xmlns:a16="http://schemas.microsoft.com/office/drawing/2014/main" id="{DB985075-6BE5-4498-9EF8-A3A91F233CA7}"/>
            </a:ext>
          </a:extLst>
        </xdr:cNvPr>
        <xdr:cNvSpPr>
          <a:spLocks noChangeShapeType="1"/>
        </xdr:cNvSpPr>
      </xdr:nvSpPr>
      <xdr:spPr bwMode="auto">
        <a:xfrm>
          <a:off x="4386580" y="6489700"/>
          <a:ext cx="0" cy="9575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0</xdr:colOff>
      <xdr:row>33</xdr:row>
      <xdr:rowOff>83820</xdr:rowOff>
    </xdr:from>
    <xdr:to>
      <xdr:col>29</xdr:col>
      <xdr:colOff>0</xdr:colOff>
      <xdr:row>33</xdr:row>
      <xdr:rowOff>83820</xdr:rowOff>
    </xdr:to>
    <xdr:sp macro="" textlink="">
      <xdr:nvSpPr>
        <xdr:cNvPr id="27" name="Line 5">
          <a:extLst>
            <a:ext uri="{FF2B5EF4-FFF2-40B4-BE49-F238E27FC236}">
              <a16:creationId xmlns:a16="http://schemas.microsoft.com/office/drawing/2014/main" id="{F7D798B0-BB32-4593-9A0C-0F0442FF1F8D}"/>
            </a:ext>
          </a:extLst>
        </xdr:cNvPr>
        <xdr:cNvSpPr>
          <a:spLocks noChangeShapeType="1"/>
        </xdr:cNvSpPr>
      </xdr:nvSpPr>
      <xdr:spPr bwMode="auto">
        <a:xfrm>
          <a:off x="5016500" y="66624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28</xdr:col>
      <xdr:colOff>335280</xdr:colOff>
      <xdr:row>33</xdr:row>
      <xdr:rowOff>99060</xdr:rowOff>
    </xdr:from>
    <xdr:to>
      <xdr:col>28</xdr:col>
      <xdr:colOff>541020</xdr:colOff>
      <xdr:row>33</xdr:row>
      <xdr:rowOff>99060</xdr:rowOff>
    </xdr:to>
    <xdr:sp macro="" textlink="">
      <xdr:nvSpPr>
        <xdr:cNvPr id="28" name="Line 6">
          <a:extLst>
            <a:ext uri="{FF2B5EF4-FFF2-40B4-BE49-F238E27FC236}">
              <a16:creationId xmlns:a16="http://schemas.microsoft.com/office/drawing/2014/main" id="{C602C468-CA41-47B0-AEBE-FD93779A6700}"/>
            </a:ext>
          </a:extLst>
        </xdr:cNvPr>
        <xdr:cNvSpPr>
          <a:spLocks noChangeShapeType="1"/>
        </xdr:cNvSpPr>
      </xdr:nvSpPr>
      <xdr:spPr bwMode="auto">
        <a:xfrm flipH="1">
          <a:off x="4386580" y="6677660"/>
          <a:ext cx="2057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30</xdr:col>
      <xdr:colOff>0</xdr:colOff>
      <xdr:row>32</xdr:row>
      <xdr:rowOff>144780</xdr:rowOff>
    </xdr:from>
    <xdr:to>
      <xdr:col>30</xdr:col>
      <xdr:colOff>0</xdr:colOff>
      <xdr:row>37</xdr:row>
      <xdr:rowOff>45720</xdr:rowOff>
    </xdr:to>
    <xdr:sp macro="" textlink="">
      <xdr:nvSpPr>
        <xdr:cNvPr id="29" name="Line 7">
          <a:extLst>
            <a:ext uri="{FF2B5EF4-FFF2-40B4-BE49-F238E27FC236}">
              <a16:creationId xmlns:a16="http://schemas.microsoft.com/office/drawing/2014/main" id="{E06591C5-CC59-4E36-B4EC-8EF007E29A47}"/>
            </a:ext>
          </a:extLst>
        </xdr:cNvPr>
        <xdr:cNvSpPr>
          <a:spLocks noChangeShapeType="1"/>
        </xdr:cNvSpPr>
      </xdr:nvSpPr>
      <xdr:spPr bwMode="auto">
        <a:xfrm>
          <a:off x="5956300" y="6520180"/>
          <a:ext cx="0" cy="9042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29</xdr:col>
      <xdr:colOff>365760</xdr:colOff>
      <xdr:row>33</xdr:row>
      <xdr:rowOff>91440</xdr:rowOff>
    </xdr:from>
    <xdr:to>
      <xdr:col>30</xdr:col>
      <xdr:colOff>0</xdr:colOff>
      <xdr:row>33</xdr:row>
      <xdr:rowOff>91440</xdr:rowOff>
    </xdr:to>
    <xdr:sp macro="" textlink="">
      <xdr:nvSpPr>
        <xdr:cNvPr id="30" name="Line 8">
          <a:extLst>
            <a:ext uri="{FF2B5EF4-FFF2-40B4-BE49-F238E27FC236}">
              <a16:creationId xmlns:a16="http://schemas.microsoft.com/office/drawing/2014/main" id="{3334A1B6-4E78-489D-B08D-64A9DA1DC26E}"/>
            </a:ext>
          </a:extLst>
        </xdr:cNvPr>
        <xdr:cNvSpPr>
          <a:spLocks noChangeShapeType="1"/>
        </xdr:cNvSpPr>
      </xdr:nvSpPr>
      <xdr:spPr bwMode="auto">
        <a:xfrm>
          <a:off x="5382260" y="6670040"/>
          <a:ext cx="5740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31</xdr:col>
      <xdr:colOff>7620</xdr:colOff>
      <xdr:row>32</xdr:row>
      <xdr:rowOff>167640</xdr:rowOff>
    </xdr:from>
    <xdr:to>
      <xdr:col>31</xdr:col>
      <xdr:colOff>7620</xdr:colOff>
      <xdr:row>35</xdr:row>
      <xdr:rowOff>144780</xdr:rowOff>
    </xdr:to>
    <xdr:sp macro="" textlink="">
      <xdr:nvSpPr>
        <xdr:cNvPr id="31" name="Line 9">
          <a:extLst>
            <a:ext uri="{FF2B5EF4-FFF2-40B4-BE49-F238E27FC236}">
              <a16:creationId xmlns:a16="http://schemas.microsoft.com/office/drawing/2014/main" id="{35F37613-67F5-4F00-947E-91B97D57B32A}"/>
            </a:ext>
          </a:extLst>
        </xdr:cNvPr>
        <xdr:cNvSpPr>
          <a:spLocks noChangeShapeType="1"/>
        </xdr:cNvSpPr>
      </xdr:nvSpPr>
      <xdr:spPr bwMode="auto">
        <a:xfrm>
          <a:off x="7094220" y="6543040"/>
          <a:ext cx="0" cy="5867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388620</xdr:colOff>
      <xdr:row>32</xdr:row>
      <xdr:rowOff>35560</xdr:rowOff>
    </xdr:from>
    <xdr:to>
      <xdr:col>33</xdr:col>
      <xdr:colOff>388620</xdr:colOff>
      <xdr:row>37</xdr:row>
      <xdr:rowOff>73660</xdr:rowOff>
    </xdr:to>
    <xdr:sp macro="" textlink="">
      <xdr:nvSpPr>
        <xdr:cNvPr id="32" name="Line 10">
          <a:extLst>
            <a:ext uri="{FF2B5EF4-FFF2-40B4-BE49-F238E27FC236}">
              <a16:creationId xmlns:a16="http://schemas.microsoft.com/office/drawing/2014/main" id="{6459A0E3-C83F-492B-9792-6F7D7A25A0B3}"/>
            </a:ext>
          </a:extLst>
        </xdr:cNvPr>
        <xdr:cNvSpPr>
          <a:spLocks noChangeShapeType="1"/>
        </xdr:cNvSpPr>
      </xdr:nvSpPr>
      <xdr:spPr bwMode="auto">
        <a:xfrm flipV="1">
          <a:off x="9253220" y="6410960"/>
          <a:ext cx="0" cy="1041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31</xdr:col>
      <xdr:colOff>7620</xdr:colOff>
      <xdr:row>33</xdr:row>
      <xdr:rowOff>106680</xdr:rowOff>
    </xdr:from>
    <xdr:to>
      <xdr:col>31</xdr:col>
      <xdr:colOff>594360</xdr:colOff>
      <xdr:row>33</xdr:row>
      <xdr:rowOff>106680</xdr:rowOff>
    </xdr:to>
    <xdr:sp macro="" textlink="">
      <xdr:nvSpPr>
        <xdr:cNvPr id="33" name="Line 11">
          <a:extLst>
            <a:ext uri="{FF2B5EF4-FFF2-40B4-BE49-F238E27FC236}">
              <a16:creationId xmlns:a16="http://schemas.microsoft.com/office/drawing/2014/main" id="{F771593E-3D12-41DC-91DC-2AFC9D4703EA}"/>
            </a:ext>
          </a:extLst>
        </xdr:cNvPr>
        <xdr:cNvSpPr>
          <a:spLocks noChangeShapeType="1"/>
        </xdr:cNvSpPr>
      </xdr:nvSpPr>
      <xdr:spPr bwMode="auto">
        <a:xfrm flipH="1">
          <a:off x="7094220" y="6685280"/>
          <a:ext cx="5867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32</xdr:col>
      <xdr:colOff>403860</xdr:colOff>
      <xdr:row>33</xdr:row>
      <xdr:rowOff>129540</xdr:rowOff>
    </xdr:from>
    <xdr:to>
      <xdr:col>33</xdr:col>
      <xdr:colOff>403860</xdr:colOff>
      <xdr:row>33</xdr:row>
      <xdr:rowOff>129540</xdr:rowOff>
    </xdr:to>
    <xdr:sp macro="" textlink="">
      <xdr:nvSpPr>
        <xdr:cNvPr id="34" name="Line 12">
          <a:extLst>
            <a:ext uri="{FF2B5EF4-FFF2-40B4-BE49-F238E27FC236}">
              <a16:creationId xmlns:a16="http://schemas.microsoft.com/office/drawing/2014/main" id="{4C4399A6-9DF9-46B4-872D-B4FDEF8009F4}"/>
            </a:ext>
          </a:extLst>
        </xdr:cNvPr>
        <xdr:cNvSpPr>
          <a:spLocks noChangeShapeType="1"/>
        </xdr:cNvSpPr>
      </xdr:nvSpPr>
      <xdr:spPr bwMode="auto">
        <a:xfrm>
          <a:off x="8531860" y="6708140"/>
          <a:ext cx="736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28</xdr:col>
      <xdr:colOff>0</xdr:colOff>
      <xdr:row>37</xdr:row>
      <xdr:rowOff>160020</xdr:rowOff>
    </xdr:from>
    <xdr:to>
      <xdr:col>37</xdr:col>
      <xdr:colOff>0</xdr:colOff>
      <xdr:row>42</xdr:row>
      <xdr:rowOff>76200</xdr:rowOff>
    </xdr:to>
    <xdr:sp macro="" textlink="">
      <xdr:nvSpPr>
        <xdr:cNvPr id="35" name="Text Box 17">
          <a:extLst>
            <a:ext uri="{FF2B5EF4-FFF2-40B4-BE49-F238E27FC236}">
              <a16:creationId xmlns:a16="http://schemas.microsoft.com/office/drawing/2014/main" id="{B5B996DA-DF95-431A-90A2-D1C993F4FB42}"/>
            </a:ext>
          </a:extLst>
        </xdr:cNvPr>
        <xdr:cNvSpPr txBox="1">
          <a:spLocks noChangeArrowheads="1"/>
        </xdr:cNvSpPr>
      </xdr:nvSpPr>
      <xdr:spPr bwMode="auto">
        <a:xfrm>
          <a:off x="4051300" y="7538720"/>
          <a:ext cx="7480300" cy="894080"/>
        </a:xfrm>
        <a:prstGeom prst="rect">
          <a:avLst/>
        </a:prstGeom>
        <a:solidFill>
          <a:srgbClr val="CCFFFF"/>
        </a:solidFill>
        <a:ln w="190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La X de entrada exterior será capacitiva (el tramo es menor de 1/4 de onda) y debe ser igual a la suma de los valores absolutos  de las reactancias del tope del tramo interior (capacitiva) y la reactancia (inductiva) que presenta la carga combinada de la trampa.</a:t>
          </a:r>
        </a:p>
        <a:p>
          <a:pPr algn="l" rtl="0">
            <a:defRPr sz="1000"/>
          </a:pP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[X de entrada exterior=X tope interior + X carga]</a:t>
          </a:r>
        </a:p>
      </xdr:txBody>
    </xdr:sp>
    <xdr:clientData/>
  </xdr:twoCellAnchor>
  <xdr:twoCellAnchor>
    <xdr:from>
      <xdr:col>30</xdr:col>
      <xdr:colOff>60960</xdr:colOff>
      <xdr:row>30</xdr:row>
      <xdr:rowOff>83820</xdr:rowOff>
    </xdr:from>
    <xdr:to>
      <xdr:col>30</xdr:col>
      <xdr:colOff>251460</xdr:colOff>
      <xdr:row>31</xdr:row>
      <xdr:rowOff>129540</xdr:rowOff>
    </xdr:to>
    <xdr:sp macro="" textlink="">
      <xdr:nvSpPr>
        <xdr:cNvPr id="36" name="Line 18">
          <a:extLst>
            <a:ext uri="{FF2B5EF4-FFF2-40B4-BE49-F238E27FC236}">
              <a16:creationId xmlns:a16="http://schemas.microsoft.com/office/drawing/2014/main" id="{A180E280-B423-4E95-8133-3531DE6F9CA9}"/>
            </a:ext>
          </a:extLst>
        </xdr:cNvPr>
        <xdr:cNvSpPr>
          <a:spLocks noChangeShapeType="1"/>
        </xdr:cNvSpPr>
      </xdr:nvSpPr>
      <xdr:spPr bwMode="auto">
        <a:xfrm flipH="1">
          <a:off x="6017260" y="6052820"/>
          <a:ext cx="190500" cy="2489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28</xdr:col>
      <xdr:colOff>335280</xdr:colOff>
      <xdr:row>34</xdr:row>
      <xdr:rowOff>99060</xdr:rowOff>
    </xdr:from>
    <xdr:to>
      <xdr:col>28</xdr:col>
      <xdr:colOff>723900</xdr:colOff>
      <xdr:row>34</xdr:row>
      <xdr:rowOff>99060</xdr:rowOff>
    </xdr:to>
    <xdr:sp macro="" textlink="">
      <xdr:nvSpPr>
        <xdr:cNvPr id="37" name="Line 11">
          <a:extLst>
            <a:ext uri="{FF2B5EF4-FFF2-40B4-BE49-F238E27FC236}">
              <a16:creationId xmlns:a16="http://schemas.microsoft.com/office/drawing/2014/main" id="{E101BDD8-A876-45D2-9530-A97541457D1B}"/>
            </a:ext>
          </a:extLst>
        </xdr:cNvPr>
        <xdr:cNvSpPr>
          <a:spLocks noChangeShapeType="1"/>
        </xdr:cNvSpPr>
      </xdr:nvSpPr>
      <xdr:spPr bwMode="auto">
        <a:xfrm flipH="1">
          <a:off x="4386580" y="6880860"/>
          <a:ext cx="3886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31</xdr:col>
      <xdr:colOff>22860</xdr:colOff>
      <xdr:row>35</xdr:row>
      <xdr:rowOff>99060</xdr:rowOff>
    </xdr:from>
    <xdr:to>
      <xdr:col>31</xdr:col>
      <xdr:colOff>746760</xdr:colOff>
      <xdr:row>35</xdr:row>
      <xdr:rowOff>99060</xdr:rowOff>
    </xdr:to>
    <xdr:sp macro="" textlink="">
      <xdr:nvSpPr>
        <xdr:cNvPr id="38" name="Line 11">
          <a:extLst>
            <a:ext uri="{FF2B5EF4-FFF2-40B4-BE49-F238E27FC236}">
              <a16:creationId xmlns:a16="http://schemas.microsoft.com/office/drawing/2014/main" id="{93E0F8D5-D8ED-4A4A-9619-F138C4064C32}"/>
            </a:ext>
          </a:extLst>
        </xdr:cNvPr>
        <xdr:cNvSpPr>
          <a:spLocks noChangeShapeType="1"/>
        </xdr:cNvSpPr>
      </xdr:nvSpPr>
      <xdr:spPr bwMode="auto">
        <a:xfrm flipH="1" flipV="1">
          <a:off x="7109460" y="7084060"/>
          <a:ext cx="723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32</xdr:col>
      <xdr:colOff>139700</xdr:colOff>
      <xdr:row>35</xdr:row>
      <xdr:rowOff>96520</xdr:rowOff>
    </xdr:from>
    <xdr:to>
      <xdr:col>33</xdr:col>
      <xdr:colOff>414020</xdr:colOff>
      <xdr:row>35</xdr:row>
      <xdr:rowOff>101600</xdr:rowOff>
    </xdr:to>
    <xdr:sp macro="" textlink="">
      <xdr:nvSpPr>
        <xdr:cNvPr id="39" name="Line 11">
          <a:extLst>
            <a:ext uri="{FF2B5EF4-FFF2-40B4-BE49-F238E27FC236}">
              <a16:creationId xmlns:a16="http://schemas.microsoft.com/office/drawing/2014/main" id="{CA0C2742-9E1B-42FA-8AB8-21752D47660A}"/>
            </a:ext>
          </a:extLst>
        </xdr:cNvPr>
        <xdr:cNvSpPr>
          <a:spLocks noChangeShapeType="1"/>
        </xdr:cNvSpPr>
      </xdr:nvSpPr>
      <xdr:spPr bwMode="auto">
        <a:xfrm flipV="1">
          <a:off x="8267700" y="7081520"/>
          <a:ext cx="1010920" cy="50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29</xdr:col>
      <xdr:colOff>822960</xdr:colOff>
      <xdr:row>34</xdr:row>
      <xdr:rowOff>99060</xdr:rowOff>
    </xdr:from>
    <xdr:to>
      <xdr:col>30</xdr:col>
      <xdr:colOff>297180</xdr:colOff>
      <xdr:row>34</xdr:row>
      <xdr:rowOff>99060</xdr:rowOff>
    </xdr:to>
    <xdr:sp macro="" textlink="">
      <xdr:nvSpPr>
        <xdr:cNvPr id="40" name="Line 11">
          <a:extLst>
            <a:ext uri="{FF2B5EF4-FFF2-40B4-BE49-F238E27FC236}">
              <a16:creationId xmlns:a16="http://schemas.microsoft.com/office/drawing/2014/main" id="{251DBE8B-197B-4BE6-B6D3-99D3895D36E6}"/>
            </a:ext>
          </a:extLst>
        </xdr:cNvPr>
        <xdr:cNvSpPr>
          <a:spLocks noChangeShapeType="1"/>
        </xdr:cNvSpPr>
      </xdr:nvSpPr>
      <xdr:spPr bwMode="auto">
        <a:xfrm flipH="1">
          <a:off x="5839460" y="6880860"/>
          <a:ext cx="4140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30</xdr:col>
      <xdr:colOff>647700</xdr:colOff>
      <xdr:row>34</xdr:row>
      <xdr:rowOff>99060</xdr:rowOff>
    </xdr:from>
    <xdr:to>
      <xdr:col>31</xdr:col>
      <xdr:colOff>22860</xdr:colOff>
      <xdr:row>34</xdr:row>
      <xdr:rowOff>99060</xdr:rowOff>
    </xdr:to>
    <xdr:sp macro="" textlink="">
      <xdr:nvSpPr>
        <xdr:cNvPr id="41" name="Line 11">
          <a:extLst>
            <a:ext uri="{FF2B5EF4-FFF2-40B4-BE49-F238E27FC236}">
              <a16:creationId xmlns:a16="http://schemas.microsoft.com/office/drawing/2014/main" id="{97BEAB6F-F5E5-4E9D-9601-286B0FD44C5C}"/>
            </a:ext>
          </a:extLst>
        </xdr:cNvPr>
        <xdr:cNvSpPr>
          <a:spLocks noChangeShapeType="1"/>
        </xdr:cNvSpPr>
      </xdr:nvSpPr>
      <xdr:spPr bwMode="auto">
        <a:xfrm>
          <a:off x="6604000" y="6880860"/>
          <a:ext cx="50546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29</xdr:col>
      <xdr:colOff>175260</xdr:colOff>
      <xdr:row>34</xdr:row>
      <xdr:rowOff>91440</xdr:rowOff>
    </xdr:from>
    <xdr:to>
      <xdr:col>30</xdr:col>
      <xdr:colOff>0</xdr:colOff>
      <xdr:row>34</xdr:row>
      <xdr:rowOff>91440</xdr:rowOff>
    </xdr:to>
    <xdr:sp macro="" textlink="">
      <xdr:nvSpPr>
        <xdr:cNvPr id="42" name="Line 11">
          <a:extLst>
            <a:ext uri="{FF2B5EF4-FFF2-40B4-BE49-F238E27FC236}">
              <a16:creationId xmlns:a16="http://schemas.microsoft.com/office/drawing/2014/main" id="{11111FCA-A185-473D-86E7-C230E3B73079}"/>
            </a:ext>
          </a:extLst>
        </xdr:cNvPr>
        <xdr:cNvSpPr>
          <a:spLocks noChangeShapeType="1"/>
        </xdr:cNvSpPr>
      </xdr:nvSpPr>
      <xdr:spPr bwMode="auto">
        <a:xfrm>
          <a:off x="5191760" y="6873240"/>
          <a:ext cx="76454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30</xdr:col>
      <xdr:colOff>594360</xdr:colOff>
      <xdr:row>34</xdr:row>
      <xdr:rowOff>99060</xdr:rowOff>
    </xdr:from>
    <xdr:to>
      <xdr:col>31</xdr:col>
      <xdr:colOff>15240</xdr:colOff>
      <xdr:row>34</xdr:row>
      <xdr:rowOff>99060</xdr:rowOff>
    </xdr:to>
    <xdr:sp macro="" textlink="">
      <xdr:nvSpPr>
        <xdr:cNvPr id="43" name="Line 11">
          <a:extLst>
            <a:ext uri="{FF2B5EF4-FFF2-40B4-BE49-F238E27FC236}">
              <a16:creationId xmlns:a16="http://schemas.microsoft.com/office/drawing/2014/main" id="{90D9F5DD-7A8D-4D58-BC52-85B86D436BD1}"/>
            </a:ext>
          </a:extLst>
        </xdr:cNvPr>
        <xdr:cNvSpPr>
          <a:spLocks noChangeShapeType="1"/>
        </xdr:cNvSpPr>
      </xdr:nvSpPr>
      <xdr:spPr bwMode="auto">
        <a:xfrm>
          <a:off x="6550660" y="6880860"/>
          <a:ext cx="55118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45"/>
  <sheetViews>
    <sheetView showGridLines="0" tabSelected="1" zoomScale="70" zoomScaleNormal="70" workbookViewId="0">
      <selection activeCell="F13" sqref="F13:G13"/>
    </sheetView>
  </sheetViews>
  <sheetFormatPr baseColWidth="10" defaultColWidth="11.54296875" defaultRowHeight="15.5" x14ac:dyDescent="0.35"/>
  <cols>
    <col min="1" max="1" width="2.54296875" style="10" customWidth="1"/>
    <col min="2" max="2" width="7.81640625" style="10" hidden="1" customWidth="1"/>
    <col min="3" max="3" width="0.90625" style="10" hidden="1" customWidth="1"/>
    <col min="4" max="4" width="11.54296875" style="10" hidden="1" customWidth="1"/>
    <col min="5" max="5" width="35.54296875" style="10" customWidth="1"/>
    <col min="6" max="6" width="6.81640625" style="10" customWidth="1"/>
    <col min="7" max="7" width="11.54296875" style="10"/>
    <col min="8" max="8" width="1.6328125" style="10" customWidth="1"/>
    <col min="9" max="9" width="0.90625" style="10" customWidth="1"/>
    <col min="10" max="10" width="16.36328125" style="10" customWidth="1"/>
    <col min="11" max="11" width="13.81640625" style="10" customWidth="1"/>
    <col min="12" max="12" width="24.08984375" style="10" customWidth="1"/>
    <col min="13" max="13" width="15.1796875" style="10" customWidth="1"/>
    <col min="14" max="14" width="10.81640625" style="10" customWidth="1"/>
    <col min="15" max="15" width="9.08984375" style="10" customWidth="1"/>
    <col min="16" max="16" width="15.1796875" style="10" customWidth="1"/>
    <col min="17" max="17" width="10.81640625" style="10" customWidth="1"/>
    <col min="18" max="18" width="10.453125" style="10" customWidth="1"/>
    <col min="19" max="19" width="8.90625" style="10" customWidth="1"/>
    <col min="20" max="20" width="3.81640625" style="10" customWidth="1"/>
    <col min="21" max="21" width="3" style="165" customWidth="1"/>
    <col min="22" max="22" width="3.453125" style="165" customWidth="1"/>
    <col min="23" max="23" width="31.54296875" style="10" customWidth="1"/>
    <col min="24" max="24" width="4.36328125" style="10" customWidth="1"/>
    <col min="25" max="25" width="6.90625" style="10" customWidth="1"/>
    <col min="26" max="26" width="7.1796875" style="10" customWidth="1"/>
    <col min="27" max="27" width="1.1796875" style="10" customWidth="1"/>
    <col min="28" max="28" width="3" style="10" customWidth="1"/>
    <col min="29" max="29" width="17.81640625" style="10" customWidth="1"/>
    <col min="30" max="30" width="11.54296875" style="10"/>
    <col min="31" max="31" width="15.90625" style="10" customWidth="1"/>
    <col min="32" max="32" width="13.453125" style="10" customWidth="1"/>
    <col min="33" max="33" width="11.54296875" style="10"/>
    <col min="34" max="34" width="13.81640625" style="10" customWidth="1"/>
    <col min="35" max="36" width="11.54296875" style="10"/>
    <col min="37" max="37" width="6.08984375" style="10" customWidth="1"/>
    <col min="38" max="38" width="12.36328125" style="10" customWidth="1"/>
    <col min="39" max="39" width="3" style="10" customWidth="1"/>
    <col min="40" max="16384" width="11.54296875" style="10"/>
  </cols>
  <sheetData>
    <row r="1" spans="1:39" ht="16.5" thickTop="1" thickBot="1" x14ac:dyDescent="0.4">
      <c r="A1" s="1"/>
      <c r="B1" s="2"/>
      <c r="C1" s="3"/>
      <c r="D1" s="2"/>
      <c r="E1" s="2"/>
      <c r="F1" s="2"/>
      <c r="G1" s="2"/>
      <c r="H1" s="4"/>
      <c r="I1" s="5"/>
      <c r="J1" s="6"/>
      <c r="K1" s="5"/>
      <c r="L1" s="5"/>
      <c r="M1" s="5"/>
      <c r="N1" s="5"/>
      <c r="O1" s="5"/>
      <c r="P1" s="5"/>
      <c r="Q1" s="7"/>
      <c r="R1" s="8"/>
      <c r="S1" s="5"/>
      <c r="T1" s="2"/>
      <c r="U1" s="247"/>
      <c r="V1" s="249"/>
      <c r="W1" s="248"/>
      <c r="X1" s="2"/>
      <c r="Y1" s="2"/>
      <c r="Z1" s="2"/>
      <c r="AA1" s="4"/>
      <c r="AB1" s="4"/>
      <c r="AC1" s="6"/>
      <c r="AD1" s="5"/>
      <c r="AE1" s="5"/>
      <c r="AF1" s="5"/>
      <c r="AG1" s="5"/>
      <c r="AH1" s="5"/>
      <c r="AI1" s="5"/>
      <c r="AJ1" s="7"/>
      <c r="AK1" s="8"/>
      <c r="AL1" s="5"/>
      <c r="AM1" s="9"/>
    </row>
    <row r="2" spans="1:39" ht="16.5" thickTop="1" thickBot="1" x14ac:dyDescent="0.4">
      <c r="A2" s="1"/>
      <c r="B2" s="12"/>
      <c r="C2" s="1"/>
      <c r="D2" s="2"/>
      <c r="E2" s="3"/>
      <c r="F2" s="2"/>
      <c r="G2" s="2"/>
      <c r="H2" s="2"/>
      <c r="I2" s="2"/>
      <c r="J2" s="4"/>
      <c r="K2" s="5"/>
      <c r="L2" s="6"/>
      <c r="M2" s="5"/>
      <c r="N2" s="5"/>
      <c r="O2" s="5"/>
      <c r="P2" s="5"/>
      <c r="Q2" s="5"/>
      <c r="R2" s="5"/>
      <c r="S2" s="8"/>
      <c r="T2" s="2"/>
      <c r="U2" s="242"/>
      <c r="V2" s="210"/>
      <c r="W2" s="208"/>
      <c r="X2" s="209"/>
      <c r="Y2" s="210"/>
      <c r="Z2" s="210"/>
      <c r="AA2" s="210"/>
      <c r="AB2" s="210"/>
      <c r="AC2" s="211"/>
      <c r="AD2" s="212"/>
      <c r="AE2" s="213"/>
      <c r="AF2" s="212"/>
      <c r="AG2" s="212"/>
      <c r="AH2" s="212"/>
      <c r="AI2" s="212"/>
      <c r="AJ2" s="212"/>
      <c r="AK2" s="212"/>
      <c r="AL2" s="214"/>
      <c r="AM2" s="215"/>
    </row>
    <row r="3" spans="1:39" ht="17.399999999999999" customHeight="1" x14ac:dyDescent="0.35">
      <c r="A3" s="11"/>
      <c r="B3" s="110"/>
      <c r="C3" s="116"/>
      <c r="D3" s="110"/>
      <c r="E3" s="327" t="s">
        <v>59</v>
      </c>
      <c r="F3" s="328"/>
      <c r="G3" s="328"/>
      <c r="H3" s="328"/>
      <c r="I3" s="328"/>
      <c r="J3" s="328"/>
      <c r="K3" s="328"/>
      <c r="L3" s="328"/>
      <c r="M3" s="328"/>
      <c r="N3" s="328"/>
      <c r="O3" s="328"/>
      <c r="P3" s="328"/>
      <c r="Q3" s="328"/>
      <c r="R3" s="328"/>
      <c r="S3" s="329"/>
      <c r="T3" s="12"/>
      <c r="U3" s="242"/>
      <c r="V3" s="241"/>
      <c r="W3" s="284" t="s">
        <v>58</v>
      </c>
      <c r="X3" s="284"/>
      <c r="Y3" s="284"/>
      <c r="Z3" s="284"/>
      <c r="AA3" s="284"/>
      <c r="AB3" s="284"/>
      <c r="AC3" s="284"/>
      <c r="AD3" s="284"/>
      <c r="AE3" s="284"/>
      <c r="AF3" s="284"/>
      <c r="AG3" s="284"/>
      <c r="AH3" s="284"/>
      <c r="AI3" s="284"/>
      <c r="AJ3" s="284"/>
      <c r="AK3" s="284"/>
      <c r="AL3" s="285"/>
      <c r="AM3" s="216"/>
    </row>
    <row r="4" spans="1:39" ht="15.65" customHeight="1" thickBot="1" x14ac:dyDescent="0.4">
      <c r="A4" s="11"/>
      <c r="B4" s="117"/>
      <c r="C4" s="118"/>
      <c r="D4" s="117"/>
      <c r="E4" s="330"/>
      <c r="F4" s="331"/>
      <c r="G4" s="331"/>
      <c r="H4" s="331"/>
      <c r="I4" s="331"/>
      <c r="J4" s="331"/>
      <c r="K4" s="331"/>
      <c r="L4" s="331"/>
      <c r="M4" s="331"/>
      <c r="N4" s="331"/>
      <c r="O4" s="331"/>
      <c r="P4" s="331"/>
      <c r="Q4" s="331"/>
      <c r="R4" s="331"/>
      <c r="S4" s="332"/>
      <c r="T4" s="12"/>
      <c r="U4" s="242"/>
      <c r="V4" s="241"/>
      <c r="W4" s="286"/>
      <c r="X4" s="286"/>
      <c r="Y4" s="286"/>
      <c r="Z4" s="286"/>
      <c r="AA4" s="286"/>
      <c r="AB4" s="286"/>
      <c r="AC4" s="286"/>
      <c r="AD4" s="286"/>
      <c r="AE4" s="286"/>
      <c r="AF4" s="286"/>
      <c r="AG4" s="286"/>
      <c r="AH4" s="286"/>
      <c r="AI4" s="286"/>
      <c r="AJ4" s="286"/>
      <c r="AK4" s="286"/>
      <c r="AL4" s="287"/>
      <c r="AM4" s="216"/>
    </row>
    <row r="5" spans="1:39" ht="16" thickBot="1" x14ac:dyDescent="0.4">
      <c r="A5" s="11"/>
      <c r="B5" s="12"/>
      <c r="C5" s="11"/>
      <c r="D5" s="12"/>
      <c r="E5" s="13"/>
      <c r="F5" s="12"/>
      <c r="G5" s="163"/>
      <c r="H5" s="12"/>
      <c r="I5" s="12"/>
      <c r="J5" s="113"/>
      <c r="K5" s="109"/>
      <c r="L5" s="114"/>
      <c r="M5" s="109"/>
      <c r="N5" s="109"/>
      <c r="O5" s="109"/>
      <c r="P5" s="109"/>
      <c r="Q5" s="109"/>
      <c r="R5" s="109"/>
      <c r="S5" s="119"/>
      <c r="T5" s="12"/>
      <c r="U5" s="242"/>
      <c r="V5" s="174"/>
      <c r="W5" s="217"/>
      <c r="X5" s="190"/>
      <c r="Y5" s="174"/>
      <c r="Z5" s="217"/>
      <c r="AA5" s="174"/>
      <c r="AB5" s="174"/>
      <c r="AC5" s="191"/>
      <c r="AD5" s="170"/>
      <c r="AE5" s="185"/>
      <c r="AF5" s="170"/>
      <c r="AG5" s="170"/>
      <c r="AH5" s="170"/>
      <c r="AI5" s="170"/>
      <c r="AJ5" s="170"/>
      <c r="AK5" s="170"/>
      <c r="AL5" s="218"/>
      <c r="AM5" s="216"/>
    </row>
    <row r="6" spans="1:39" ht="16" thickBot="1" x14ac:dyDescent="0.4">
      <c r="A6" s="11"/>
      <c r="B6" s="12"/>
      <c r="C6" s="11"/>
      <c r="D6" s="12"/>
      <c r="E6" s="13"/>
      <c r="F6" s="12"/>
      <c r="G6" s="117"/>
      <c r="H6" s="12"/>
      <c r="I6" s="14"/>
      <c r="J6" s="15"/>
      <c r="K6" s="16"/>
      <c r="L6" s="17"/>
      <c r="M6" s="16"/>
      <c r="N6" s="16"/>
      <c r="O6" s="16"/>
      <c r="P6" s="16"/>
      <c r="Q6" s="16"/>
      <c r="R6" s="16"/>
      <c r="S6" s="111"/>
      <c r="T6" s="12"/>
      <c r="U6" s="242"/>
      <c r="V6" s="174"/>
      <c r="W6" s="198"/>
      <c r="X6" s="190"/>
      <c r="Y6" s="174"/>
      <c r="Z6" s="198"/>
      <c r="AA6" s="174"/>
      <c r="AB6" s="219"/>
      <c r="AC6" s="220"/>
      <c r="AD6" s="221"/>
      <c r="AE6" s="222"/>
      <c r="AF6" s="221"/>
      <c r="AG6" s="221"/>
      <c r="AH6" s="221"/>
      <c r="AI6" s="221"/>
      <c r="AJ6" s="221"/>
      <c r="AK6" s="221"/>
      <c r="AL6" s="223"/>
      <c r="AM6" s="216"/>
    </row>
    <row r="7" spans="1:39" ht="16" thickBot="1" x14ac:dyDescent="0.4">
      <c r="A7" s="11"/>
      <c r="B7" s="12"/>
      <c r="C7" s="11"/>
      <c r="D7" s="12"/>
      <c r="E7" s="293" t="s">
        <v>23</v>
      </c>
      <c r="F7" s="294"/>
      <c r="G7" s="294"/>
      <c r="H7" s="18"/>
      <c r="I7" s="18"/>
      <c r="J7" s="296" t="s">
        <v>25</v>
      </c>
      <c r="K7" s="297"/>
      <c r="L7" s="297"/>
      <c r="M7" s="297"/>
      <c r="N7" s="91"/>
      <c r="O7" s="19">
        <f>F9</f>
        <v>28</v>
      </c>
      <c r="P7" s="263" t="s">
        <v>26</v>
      </c>
      <c r="Q7" s="263"/>
      <c r="R7" s="263"/>
      <c r="S7" s="264"/>
      <c r="T7" s="12"/>
      <c r="U7" s="242"/>
      <c r="V7" s="241"/>
      <c r="W7" s="275" t="s">
        <v>23</v>
      </c>
      <c r="X7" s="275"/>
      <c r="Y7" s="275"/>
      <c r="Z7" s="276"/>
      <c r="AA7" s="174"/>
      <c r="AB7" s="195"/>
      <c r="AC7" s="296" t="s">
        <v>25</v>
      </c>
      <c r="AD7" s="297"/>
      <c r="AE7" s="297"/>
      <c r="AF7" s="297"/>
      <c r="AG7" s="244">
        <f>Y9</f>
        <v>3.6</v>
      </c>
      <c r="AH7" s="19" t="s">
        <v>26</v>
      </c>
      <c r="AI7" s="263"/>
      <c r="AJ7" s="263"/>
      <c r="AK7" s="263"/>
      <c r="AL7" s="264"/>
      <c r="AM7" s="216"/>
    </row>
    <row r="8" spans="1:39" ht="16" thickBot="1" x14ac:dyDescent="0.4">
      <c r="A8" s="11"/>
      <c r="B8" s="12"/>
      <c r="C8" s="11"/>
      <c r="D8" s="12"/>
      <c r="E8" s="20" t="s">
        <v>7</v>
      </c>
      <c r="F8" s="347">
        <v>28.5</v>
      </c>
      <c r="G8" s="348"/>
      <c r="H8" s="12"/>
      <c r="I8" s="18"/>
      <c r="J8" s="21"/>
      <c r="K8" s="22"/>
      <c r="L8" s="22"/>
      <c r="M8" s="22"/>
      <c r="N8" s="22"/>
      <c r="O8" s="23"/>
      <c r="P8" s="24"/>
      <c r="Q8" s="24"/>
      <c r="R8" s="24"/>
      <c r="S8" s="112"/>
      <c r="T8" s="12"/>
      <c r="U8" s="242"/>
      <c r="V8" s="241"/>
      <c r="W8" s="159"/>
      <c r="X8" s="160" t="s">
        <v>7</v>
      </c>
      <c r="Y8" s="298">
        <v>3.7</v>
      </c>
      <c r="Z8" s="299"/>
      <c r="AA8" s="174"/>
      <c r="AB8" s="195"/>
      <c r="AC8" s="21"/>
      <c r="AD8" s="22"/>
      <c r="AE8" s="22"/>
      <c r="AF8" s="22"/>
      <c r="AG8" s="22"/>
      <c r="AH8" s="23"/>
      <c r="AI8" s="24"/>
      <c r="AJ8" s="24"/>
      <c r="AK8" s="24"/>
      <c r="AL8" s="112"/>
      <c r="AM8" s="216"/>
    </row>
    <row r="9" spans="1:39" x14ac:dyDescent="0.35">
      <c r="A9" s="11"/>
      <c r="B9" s="12"/>
      <c r="C9" s="11"/>
      <c r="D9" s="12"/>
      <c r="E9" s="25" t="s">
        <v>43</v>
      </c>
      <c r="F9" s="300">
        <v>28</v>
      </c>
      <c r="G9" s="301"/>
      <c r="H9" s="12"/>
      <c r="I9" s="18"/>
      <c r="J9" s="26" t="s">
        <v>44</v>
      </c>
      <c r="K9" s="27" t="s">
        <v>45</v>
      </c>
      <c r="L9" s="28" t="s">
        <v>4</v>
      </c>
      <c r="M9" s="29" t="s">
        <v>42</v>
      </c>
      <c r="N9" s="96" t="s">
        <v>52</v>
      </c>
      <c r="O9" s="95" t="s">
        <v>32</v>
      </c>
      <c r="P9" s="95"/>
      <c r="Q9" s="267" t="s">
        <v>46</v>
      </c>
      <c r="R9" s="271"/>
      <c r="S9" s="272"/>
      <c r="T9" s="12"/>
      <c r="U9" s="242"/>
      <c r="V9" s="241"/>
      <c r="W9" s="161"/>
      <c r="X9" s="148" t="s">
        <v>43</v>
      </c>
      <c r="Y9" s="273">
        <v>3.6</v>
      </c>
      <c r="Z9" s="274"/>
      <c r="AA9" s="174"/>
      <c r="AB9" s="195"/>
      <c r="AC9" s="26" t="s">
        <v>44</v>
      </c>
      <c r="AD9" s="27" t="s">
        <v>45</v>
      </c>
      <c r="AE9" s="28" t="s">
        <v>4</v>
      </c>
      <c r="AF9" s="29" t="s">
        <v>42</v>
      </c>
      <c r="AG9" s="96" t="s">
        <v>52</v>
      </c>
      <c r="AH9" s="152" t="s">
        <v>55</v>
      </c>
      <c r="AI9" s="291" t="s">
        <v>32</v>
      </c>
      <c r="AJ9" s="291"/>
      <c r="AK9" s="267" t="s">
        <v>46</v>
      </c>
      <c r="AL9" s="272"/>
      <c r="AM9" s="216"/>
    </row>
    <row r="10" spans="1:39" ht="16" thickBot="1" x14ac:dyDescent="0.4">
      <c r="A10" s="11"/>
      <c r="B10" s="12"/>
      <c r="C10" s="11"/>
      <c r="D10" s="12"/>
      <c r="E10" s="30" t="s">
        <v>8</v>
      </c>
      <c r="F10" s="339">
        <v>14.1</v>
      </c>
      <c r="G10" s="340"/>
      <c r="H10" s="12"/>
      <c r="I10" s="18"/>
      <c r="J10" s="31">
        <f>(F13/2/PI()/F9)</f>
        <v>2.2736420441699332</v>
      </c>
      <c r="K10" s="250">
        <f>1000000/2/PI()/F13/F9</f>
        <v>14.210262776062084</v>
      </c>
      <c r="L10" s="33">
        <f>(J10*0.000001)/(K10*0.000000000001)</f>
        <v>159999.99999999997</v>
      </c>
      <c r="M10" s="34">
        <f>(0.15*(F15)*(1/(1.03+0.8*(F15)/(N14)))*SQRT(F9*1000000))/2</f>
        <v>376.36980624531878</v>
      </c>
      <c r="N10" s="97">
        <f>(1/O10/(K10*0.000000000001))/1000000</f>
        <v>0.46743374130551052</v>
      </c>
      <c r="O10" s="341">
        <f>(F13^2+Q10^2)/Q10</f>
        <v>150548.98528263724</v>
      </c>
      <c r="P10" s="342"/>
      <c r="Q10" s="343">
        <f>F13/M10</f>
        <v>1.0627845097097905</v>
      </c>
      <c r="R10" s="344"/>
      <c r="S10" s="345"/>
      <c r="T10" s="12"/>
      <c r="U10" s="242"/>
      <c r="V10" s="241"/>
      <c r="W10" s="161"/>
      <c r="X10" s="148" t="s">
        <v>8</v>
      </c>
      <c r="Y10" s="273">
        <v>1.84</v>
      </c>
      <c r="Z10" s="274"/>
      <c r="AA10" s="174"/>
      <c r="AB10" s="195"/>
      <c r="AC10" s="31">
        <f>Y13/2/PI()/Y9</f>
        <v>8.8861509892974908</v>
      </c>
      <c r="AD10" s="32">
        <f>1000000/2/PI()/Y9/Y13</f>
        <v>219.94878813141975</v>
      </c>
      <c r="AE10" s="33">
        <f>(AC10*0.000001)/(AD10*0.000000000001)</f>
        <v>40401.000000000007</v>
      </c>
      <c r="AF10" s="34">
        <f>(0.15*(Y15)*(1/(1.03+0.8*(Y15)/(AG14)))*SQRT(Y9*1000000))/2</f>
        <v>259.352702862169</v>
      </c>
      <c r="AG10" s="97">
        <f>(1/AI10/(AD10*0.000000000001))/1000000</f>
        <v>7.9700237979759433E-2</v>
      </c>
      <c r="AH10" s="56">
        <f>1000000/2/PI()/Y9/Y13</f>
        <v>219.94878813141975</v>
      </c>
      <c r="AI10" s="292">
        <f>(AH10^2+AK10^2)/AK10</f>
        <v>57045.160761374078</v>
      </c>
      <c r="AJ10" s="292"/>
      <c r="AK10" s="265">
        <f>AH10/AF10</f>
        <v>0.84806823180982938</v>
      </c>
      <c r="AL10" s="290"/>
      <c r="AM10" s="240"/>
    </row>
    <row r="11" spans="1:39" ht="13.25" customHeight="1" thickBot="1" x14ac:dyDescent="0.4">
      <c r="A11" s="11"/>
      <c r="B11" s="12"/>
      <c r="C11" s="11"/>
      <c r="D11" s="12"/>
      <c r="E11" s="30" t="s">
        <v>6</v>
      </c>
      <c r="F11" s="321">
        <v>1.1299999999999999</v>
      </c>
      <c r="G11" s="322"/>
      <c r="H11" s="12"/>
      <c r="I11" s="18"/>
      <c r="J11" s="113"/>
      <c r="K11" s="109"/>
      <c r="L11" s="114"/>
      <c r="M11" s="109"/>
      <c r="N11" s="109"/>
      <c r="O11" s="109"/>
      <c r="P11" s="109"/>
      <c r="Q11" s="109"/>
      <c r="R11" s="109"/>
      <c r="S11" s="35"/>
      <c r="T11" s="12"/>
      <c r="U11" s="242"/>
      <c r="V11" s="241"/>
      <c r="W11" s="161"/>
      <c r="X11" s="148" t="s">
        <v>6</v>
      </c>
      <c r="Y11" s="258">
        <v>1.78</v>
      </c>
      <c r="Z11" s="259"/>
      <c r="AA11" s="174"/>
      <c r="AB11" s="195"/>
      <c r="AC11" s="237"/>
      <c r="AD11" s="238"/>
      <c r="AE11" s="239"/>
      <c r="AF11" s="238"/>
      <c r="AG11" s="238"/>
      <c r="AH11" s="238"/>
      <c r="AI11" s="238"/>
      <c r="AJ11" s="238"/>
      <c r="AK11" s="170"/>
      <c r="AL11" s="168"/>
      <c r="AM11" s="216"/>
    </row>
    <row r="12" spans="1:39" ht="13.25" customHeight="1" thickBot="1" x14ac:dyDescent="0.4">
      <c r="A12" s="11"/>
      <c r="B12" s="12"/>
      <c r="C12" s="11"/>
      <c r="D12" s="12"/>
      <c r="E12" s="30" t="s">
        <v>0</v>
      </c>
      <c r="F12" s="321">
        <v>3.2</v>
      </c>
      <c r="G12" s="322"/>
      <c r="H12" s="12"/>
      <c r="I12" s="18"/>
      <c r="J12" s="293" t="s">
        <v>36</v>
      </c>
      <c r="K12" s="294"/>
      <c r="L12" s="294"/>
      <c r="M12" s="294"/>
      <c r="N12" s="294"/>
      <c r="O12" s="294"/>
      <c r="P12" s="295"/>
      <c r="Q12" s="155"/>
      <c r="R12" s="153"/>
      <c r="S12" s="154"/>
      <c r="T12" s="12"/>
      <c r="U12" s="242"/>
      <c r="V12" s="241"/>
      <c r="W12" s="161"/>
      <c r="X12" s="148" t="s">
        <v>0</v>
      </c>
      <c r="Y12" s="258">
        <v>5</v>
      </c>
      <c r="Z12" s="259"/>
      <c r="AA12" s="174"/>
      <c r="AB12" s="195"/>
      <c r="AC12" s="293" t="s">
        <v>36</v>
      </c>
      <c r="AD12" s="294"/>
      <c r="AE12" s="294"/>
      <c r="AF12" s="294"/>
      <c r="AG12" s="294"/>
      <c r="AH12" s="294"/>
      <c r="AI12" s="294"/>
      <c r="AJ12" s="295"/>
      <c r="AK12" s="224"/>
      <c r="AL12" s="225"/>
      <c r="AM12" s="216"/>
    </row>
    <row r="13" spans="1:39" x14ac:dyDescent="0.35">
      <c r="A13" s="11"/>
      <c r="B13" s="12"/>
      <c r="C13" s="11"/>
      <c r="D13" s="12"/>
      <c r="E13" s="36" t="s">
        <v>47</v>
      </c>
      <c r="F13" s="323">
        <v>400</v>
      </c>
      <c r="G13" s="324"/>
      <c r="H13" s="12"/>
      <c r="I13" s="18"/>
      <c r="J13" s="51" t="s">
        <v>16</v>
      </c>
      <c r="K13" s="29" t="s">
        <v>18</v>
      </c>
      <c r="L13" s="103" t="s">
        <v>1</v>
      </c>
      <c r="M13" s="29" t="s">
        <v>19</v>
      </c>
      <c r="N13" s="267" t="s">
        <v>17</v>
      </c>
      <c r="O13" s="268"/>
      <c r="P13" s="89" t="s">
        <v>33</v>
      </c>
      <c r="Q13" s="156"/>
      <c r="R13" s="157"/>
      <c r="S13" s="158"/>
      <c r="T13" s="12"/>
      <c r="U13" s="242"/>
      <c r="V13" s="241"/>
      <c r="W13" s="288" t="s">
        <v>65</v>
      </c>
      <c r="X13" s="289"/>
      <c r="Y13" s="258">
        <v>201</v>
      </c>
      <c r="Z13" s="259"/>
      <c r="AA13" s="174"/>
      <c r="AB13" s="195"/>
      <c r="AC13" s="51" t="s">
        <v>16</v>
      </c>
      <c r="AD13" s="29" t="s">
        <v>18</v>
      </c>
      <c r="AE13" s="103" t="s">
        <v>1</v>
      </c>
      <c r="AF13" s="29" t="s">
        <v>19</v>
      </c>
      <c r="AG13" s="267" t="s">
        <v>17</v>
      </c>
      <c r="AH13" s="268"/>
      <c r="AI13" s="267" t="s">
        <v>33</v>
      </c>
      <c r="AJ13" s="272"/>
      <c r="AK13" s="170"/>
      <c r="AL13" s="226"/>
      <c r="AM13" s="216"/>
    </row>
    <row r="14" spans="1:39" ht="16" thickBot="1" x14ac:dyDescent="0.4">
      <c r="A14" s="11"/>
      <c r="B14" s="12"/>
      <c r="C14" s="11"/>
      <c r="D14" s="12"/>
      <c r="E14" s="37" t="s">
        <v>51</v>
      </c>
      <c r="F14" s="334">
        <v>1.78</v>
      </c>
      <c r="G14" s="335"/>
      <c r="H14" s="12" t="e">
        <f>+¡9om741</f>
        <v>#NAME?</v>
      </c>
      <c r="I14" s="42"/>
      <c r="J14" s="251">
        <v>4.08</v>
      </c>
      <c r="K14" s="39">
        <f>50/J14/((F12+F11/10)^2)</f>
        <v>1.1165211892256903</v>
      </c>
      <c r="L14" s="40">
        <f>J10*K14*(1+SQRT(1+23/(F12/2+F11/10)/J10/(K14^2)))</f>
        <v>8.6190241339200622</v>
      </c>
      <c r="M14" s="39">
        <f>L14*1.06*PI()*SQRT((F12+F11/10)^2+(F11/10)^2)/100</f>
        <v>0.95145388577031509</v>
      </c>
      <c r="N14" s="265">
        <f>L14*2*F11/10</f>
        <v>1.947899454265934</v>
      </c>
      <c r="O14" s="266"/>
      <c r="P14" s="94">
        <f>N14/F12</f>
        <v>0.60871857945810437</v>
      </c>
      <c r="Q14" s="156"/>
      <c r="R14" s="157"/>
      <c r="S14" s="158"/>
      <c r="T14" s="12"/>
      <c r="U14" s="242"/>
      <c r="V14" s="241"/>
      <c r="W14" s="161"/>
      <c r="X14" s="148" t="s">
        <v>51</v>
      </c>
      <c r="Y14" s="258">
        <v>1.784</v>
      </c>
      <c r="Z14" s="259"/>
      <c r="AA14" s="174"/>
      <c r="AB14" s="195"/>
      <c r="AC14" s="38">
        <f>10/(2*Y11)</f>
        <v>2.8089887640449436</v>
      </c>
      <c r="AD14" s="39">
        <f>50/AC14/((Y12+Y11/10)^2)</f>
        <v>0.66388966839979169</v>
      </c>
      <c r="AE14" s="40">
        <f>AC10*AD14*(1+SQRT(1+23/(Y12/2+Y11/10)/AC10/(AD14^2)))</f>
        <v>16.440861087910893</v>
      </c>
      <c r="AF14" s="39">
        <f>AE14*1.06*PI()*SQRT((Y12+Y11/10)^2+(Y11/10)^2)/100</f>
        <v>2.8366045847003996</v>
      </c>
      <c r="AG14" s="265">
        <f>AE14*2*Y11/10</f>
        <v>5.8529465472962778</v>
      </c>
      <c r="AH14" s="266"/>
      <c r="AI14" s="265">
        <f>AG14/Y12</f>
        <v>1.1705893094592557</v>
      </c>
      <c r="AJ14" s="290"/>
      <c r="AK14" s="170"/>
      <c r="AL14" s="226"/>
      <c r="AM14" s="216"/>
    </row>
    <row r="15" spans="1:39" ht="16" thickBot="1" x14ac:dyDescent="0.4">
      <c r="A15" s="11"/>
      <c r="B15" s="12"/>
      <c r="C15" s="11"/>
      <c r="D15" s="12"/>
      <c r="E15" s="41" t="s">
        <v>38</v>
      </c>
      <c r="F15" s="282">
        <f>F12/2</f>
        <v>1.6</v>
      </c>
      <c r="G15" s="283"/>
      <c r="H15" s="166"/>
      <c r="I15" s="120"/>
      <c r="J15" s="119" t="s">
        <v>67</v>
      </c>
      <c r="K15" s="119"/>
      <c r="L15" s="119"/>
      <c r="M15" s="119"/>
      <c r="N15" s="119"/>
      <c r="O15" s="119"/>
      <c r="P15" s="119"/>
      <c r="Q15" s="43"/>
      <c r="R15" s="43"/>
      <c r="S15" s="115"/>
      <c r="T15" s="12"/>
      <c r="U15" s="242"/>
      <c r="V15" s="241"/>
      <c r="W15" s="164"/>
      <c r="X15" s="162" t="s">
        <v>38</v>
      </c>
      <c r="Y15" s="282">
        <f>Y12/2</f>
        <v>2.5</v>
      </c>
      <c r="Z15" s="283"/>
      <c r="AA15" s="174"/>
      <c r="AB15" s="196"/>
      <c r="AC15" s="218"/>
      <c r="AD15" s="218"/>
      <c r="AE15" s="218"/>
      <c r="AF15" s="218"/>
      <c r="AG15" s="218"/>
      <c r="AH15" s="218"/>
      <c r="AI15" s="218"/>
      <c r="AJ15" s="218"/>
      <c r="AK15" s="227"/>
      <c r="AL15" s="169"/>
      <c r="AM15" s="216"/>
    </row>
    <row r="16" spans="1:39" ht="14.4" customHeight="1" thickBot="1" x14ac:dyDescent="0.4">
      <c r="A16" s="11"/>
      <c r="B16" s="44"/>
      <c r="C16" s="11"/>
      <c r="D16" s="12"/>
      <c r="E16" s="167"/>
      <c r="F16" s="12"/>
      <c r="G16" s="12"/>
      <c r="H16" s="12"/>
      <c r="I16" s="12"/>
      <c r="J16" s="113"/>
      <c r="K16" s="109"/>
      <c r="L16" s="114"/>
      <c r="M16" s="109"/>
      <c r="N16" s="109"/>
      <c r="O16" s="109"/>
      <c r="P16" s="109"/>
      <c r="Q16" s="109"/>
      <c r="R16" s="109"/>
      <c r="S16" s="35"/>
      <c r="T16" s="12"/>
      <c r="U16" s="242"/>
      <c r="V16" s="241"/>
      <c r="W16" s="217"/>
      <c r="X16" s="228"/>
      <c r="Y16" s="217"/>
      <c r="Z16" s="217"/>
      <c r="AA16" s="174"/>
      <c r="AB16" s="217"/>
      <c r="AC16" s="191"/>
      <c r="AD16" s="170"/>
      <c r="AE16" s="185"/>
      <c r="AF16" s="170"/>
      <c r="AG16" s="170"/>
      <c r="AH16" s="170"/>
      <c r="AI16" s="170"/>
      <c r="AJ16" s="170"/>
      <c r="AK16" s="170"/>
      <c r="AL16" s="168"/>
      <c r="AM16" s="216"/>
    </row>
    <row r="17" spans="1:39" ht="16.25" customHeight="1" thickBot="1" x14ac:dyDescent="0.4">
      <c r="A17" s="11"/>
      <c r="B17" s="45"/>
      <c r="C17" s="11"/>
      <c r="D17" s="44"/>
      <c r="E17" s="46"/>
      <c r="F17" s="47"/>
      <c r="G17" s="47"/>
      <c r="H17" s="47"/>
      <c r="I17" s="47"/>
      <c r="J17" s="48"/>
      <c r="K17" s="49"/>
      <c r="L17" s="50"/>
      <c r="M17" s="49"/>
      <c r="N17" s="49"/>
      <c r="O17" s="49"/>
      <c r="P17" s="49"/>
      <c r="Q17" s="47"/>
      <c r="R17" s="49"/>
      <c r="S17" s="121"/>
      <c r="T17" s="12"/>
      <c r="U17" s="242"/>
      <c r="V17" s="241"/>
      <c r="W17" s="260" t="s">
        <v>27</v>
      </c>
      <c r="X17" s="260"/>
      <c r="Y17" s="306">
        <f>Y10</f>
        <v>1.84</v>
      </c>
      <c r="Z17" s="279" t="s">
        <v>26</v>
      </c>
      <c r="AA17" s="174"/>
      <c r="AB17" s="174"/>
      <c r="AC17" s="229"/>
      <c r="AD17" s="221"/>
      <c r="AE17" s="222"/>
      <c r="AF17" s="221"/>
      <c r="AG17" s="221"/>
      <c r="AH17" s="221"/>
      <c r="AI17" s="221"/>
      <c r="AJ17" s="217"/>
      <c r="AK17" s="221"/>
      <c r="AL17" s="223"/>
      <c r="AM17" s="216"/>
    </row>
    <row r="18" spans="1:39" ht="15.65" customHeight="1" thickBot="1" x14ac:dyDescent="0.4">
      <c r="A18" s="11"/>
      <c r="B18" s="45"/>
      <c r="C18" s="11"/>
      <c r="D18" s="45"/>
      <c r="E18" s="336" t="s">
        <v>27</v>
      </c>
      <c r="F18" s="306">
        <f>F10</f>
        <v>14.1</v>
      </c>
      <c r="G18" s="279" t="s">
        <v>26</v>
      </c>
      <c r="H18" s="107"/>
      <c r="I18" s="107"/>
      <c r="J18" s="318" t="s">
        <v>9</v>
      </c>
      <c r="K18" s="319"/>
      <c r="L18" s="319"/>
      <c r="M18" s="320"/>
      <c r="N18" s="101"/>
      <c r="O18" s="101"/>
      <c r="P18" s="101"/>
      <c r="Q18" s="101"/>
      <c r="R18" s="101"/>
      <c r="S18" s="245"/>
      <c r="T18" s="145"/>
      <c r="U18" s="242"/>
      <c r="V18" s="241"/>
      <c r="W18" s="261"/>
      <c r="X18" s="261"/>
      <c r="Y18" s="307"/>
      <c r="Z18" s="280"/>
      <c r="AA18" s="174"/>
      <c r="AB18" s="174"/>
      <c r="AC18" s="318" t="s">
        <v>9</v>
      </c>
      <c r="AD18" s="319"/>
      <c r="AE18" s="319"/>
      <c r="AF18" s="319"/>
      <c r="AG18" s="319"/>
      <c r="AH18" s="319"/>
      <c r="AI18" s="320"/>
      <c r="AJ18" s="230"/>
      <c r="AK18" s="302"/>
      <c r="AL18" s="303"/>
      <c r="AM18" s="216"/>
    </row>
    <row r="19" spans="1:39" ht="15" customHeight="1" x14ac:dyDescent="0.35">
      <c r="A19" s="11"/>
      <c r="B19" s="45"/>
      <c r="C19" s="11"/>
      <c r="D19" s="45"/>
      <c r="E19" s="337"/>
      <c r="F19" s="307"/>
      <c r="G19" s="280"/>
      <c r="H19" s="107"/>
      <c r="I19" s="107"/>
      <c r="J19" s="51" t="s">
        <v>39</v>
      </c>
      <c r="K19" s="29" t="s">
        <v>40</v>
      </c>
      <c r="L19" s="92" t="s">
        <v>63</v>
      </c>
      <c r="M19" s="92" t="str">
        <f>IF(SIGN(L20)=-1,"Xc","Xl")</f>
        <v>Xl</v>
      </c>
      <c r="N19" s="101"/>
      <c r="O19" s="101"/>
      <c r="P19" s="101"/>
      <c r="Q19" s="107"/>
      <c r="R19" s="269"/>
      <c r="S19" s="270"/>
      <c r="T19" s="12"/>
      <c r="U19" s="242"/>
      <c r="V19" s="241"/>
      <c r="W19" s="261"/>
      <c r="X19" s="261"/>
      <c r="Y19" s="307"/>
      <c r="Z19" s="280"/>
      <c r="AA19" s="174"/>
      <c r="AB19" s="174"/>
      <c r="AC19" s="51" t="s">
        <v>39</v>
      </c>
      <c r="AD19" s="29" t="s">
        <v>40</v>
      </c>
      <c r="AE19" s="52" t="s">
        <v>34</v>
      </c>
      <c r="AF19" s="53" t="s">
        <v>41</v>
      </c>
      <c r="AG19" s="90" t="s">
        <v>35</v>
      </c>
      <c r="AH19" s="92" t="s">
        <v>2</v>
      </c>
      <c r="AI19" s="105" t="s">
        <v>53</v>
      </c>
      <c r="AJ19" s="174"/>
      <c r="AK19" s="302"/>
      <c r="AL19" s="303"/>
      <c r="AM19" s="216"/>
    </row>
    <row r="20" spans="1:39" ht="15.65" customHeight="1" thickBot="1" x14ac:dyDescent="0.4">
      <c r="A20" s="11"/>
      <c r="B20" s="45"/>
      <c r="C20" s="11"/>
      <c r="D20" s="45"/>
      <c r="E20" s="337"/>
      <c r="F20" s="307"/>
      <c r="G20" s="280"/>
      <c r="H20" s="107"/>
      <c r="I20" s="107"/>
      <c r="J20" s="38">
        <f>2*PI()*F10*J10</f>
        <v>201.42857142857142</v>
      </c>
      <c r="K20" s="39">
        <f>-1000000/2/PI()/F10/K10</f>
        <v>-794.32624113475174</v>
      </c>
      <c r="L20" s="55">
        <f>J20*K20/(J20+K20)</f>
        <v>269.86107076334179</v>
      </c>
      <c r="M20" s="55">
        <f>IF(SIGN(L20)=-1,1000000/2/PI()/F10/L20,L20/2/PI()/F10)</f>
        <v>3.0460796709260713</v>
      </c>
      <c r="N20" s="101"/>
      <c r="O20" s="101"/>
      <c r="P20" s="101"/>
      <c r="Q20" s="106"/>
      <c r="R20" s="269"/>
      <c r="S20" s="270"/>
      <c r="T20" s="12"/>
      <c r="U20" s="242"/>
      <c r="V20" s="241"/>
      <c r="W20" s="261"/>
      <c r="X20" s="261"/>
      <c r="Y20" s="307"/>
      <c r="Z20" s="280"/>
      <c r="AA20" s="174"/>
      <c r="AB20" s="174"/>
      <c r="AC20" s="54">
        <f>2*PI()*Y10*AC10</f>
        <v>102.73333333333335</v>
      </c>
      <c r="AD20" s="39">
        <f>1000000/2/PI()/Y10/AD10</f>
        <v>393.26086956521743</v>
      </c>
      <c r="AE20" s="55">
        <f>AI10*(Y10/Y9)^1.5</f>
        <v>20844.514861199528</v>
      </c>
      <c r="AF20" s="56">
        <f>AE20^2*AG22/(AE20^2+AG22^2)</f>
        <v>139.05464000460086</v>
      </c>
      <c r="AG20" s="55">
        <f>AE20*AG22^2/(AE20^2+AG22^2)</f>
        <v>0.9276806693269618</v>
      </c>
      <c r="AH20" s="56">
        <f>AG22/AG20</f>
        <v>149.90161321125174</v>
      </c>
      <c r="AI20" s="93">
        <f>AF20/(2*PI()*Y10)</f>
        <v>12.027844193802306</v>
      </c>
      <c r="AJ20" s="231"/>
      <c r="AK20" s="302"/>
      <c r="AL20" s="303"/>
      <c r="AM20" s="216"/>
    </row>
    <row r="21" spans="1:39" ht="15.65" customHeight="1" thickBot="1" x14ac:dyDescent="0.4">
      <c r="A21" s="11"/>
      <c r="B21" s="45"/>
      <c r="C21" s="11"/>
      <c r="D21" s="45"/>
      <c r="E21" s="337"/>
      <c r="F21" s="307"/>
      <c r="G21" s="280"/>
      <c r="H21" s="107"/>
      <c r="I21" s="107"/>
      <c r="J21" s="101"/>
      <c r="K21" s="101"/>
      <c r="L21" s="101"/>
      <c r="M21" s="101"/>
      <c r="N21" s="101"/>
      <c r="O21" s="101"/>
      <c r="P21" s="101"/>
      <c r="Q21" s="101"/>
      <c r="R21" s="101"/>
      <c r="S21" s="123"/>
      <c r="T21" s="12"/>
      <c r="U21" s="242"/>
      <c r="V21" s="241"/>
      <c r="W21" s="261"/>
      <c r="X21" s="261"/>
      <c r="Y21" s="307"/>
      <c r="Z21" s="280"/>
      <c r="AA21" s="174"/>
      <c r="AB21" s="174"/>
      <c r="AC21" s="243"/>
      <c r="AD21" s="172"/>
      <c r="AE21" s="185"/>
      <c r="AF21" s="170"/>
      <c r="AG21" s="170"/>
      <c r="AH21" s="170"/>
      <c r="AI21" s="170"/>
      <c r="AJ21" s="170"/>
      <c r="AK21" s="170"/>
      <c r="AL21" s="168"/>
      <c r="AM21" s="216"/>
    </row>
    <row r="22" spans="1:39" ht="16" thickBot="1" x14ac:dyDescent="0.4">
      <c r="A22" s="11"/>
      <c r="B22" s="45"/>
      <c r="C22" s="11"/>
      <c r="D22" s="45"/>
      <c r="E22" s="337"/>
      <c r="F22" s="307"/>
      <c r="G22" s="280"/>
      <c r="H22" s="107"/>
      <c r="I22" s="107"/>
      <c r="J22" s="304" t="s">
        <v>20</v>
      </c>
      <c r="K22" s="305"/>
      <c r="L22" s="305"/>
      <c r="M22" s="305"/>
      <c r="N22" s="98">
        <f>L20</f>
        <v>269.86107076334179</v>
      </c>
      <c r="O22" s="246" t="s">
        <v>64</v>
      </c>
      <c r="P22" s="100"/>
      <c r="Q22" s="102">
        <f>M20</f>
        <v>3.0460796709260713</v>
      </c>
      <c r="R22" s="147" t="str">
        <f>IF(SIGN(L20)=-1,"pF","uH")</f>
        <v>uH</v>
      </c>
      <c r="S22" s="123"/>
      <c r="T22" s="12"/>
      <c r="U22" s="242"/>
      <c r="V22" s="241"/>
      <c r="W22" s="261"/>
      <c r="X22" s="261"/>
      <c r="Y22" s="307"/>
      <c r="Z22" s="280"/>
      <c r="AA22" s="174"/>
      <c r="AB22" s="174"/>
      <c r="AC22" s="304" t="s">
        <v>20</v>
      </c>
      <c r="AD22" s="305"/>
      <c r="AE22" s="305"/>
      <c r="AF22" s="305"/>
      <c r="AG22" s="98">
        <f>ABS(-AC20*AD20/(AC20-AD20))</f>
        <v>139.06082887700535</v>
      </c>
      <c r="AH22" s="99" t="s">
        <v>56</v>
      </c>
      <c r="AI22" s="100"/>
      <c r="AJ22" s="102">
        <f>AI20</f>
        <v>12.027844193802306</v>
      </c>
      <c r="AK22" s="147" t="s">
        <v>54</v>
      </c>
      <c r="AL22" s="168"/>
      <c r="AM22" s="216"/>
    </row>
    <row r="23" spans="1:39" ht="15.65" customHeight="1" thickBot="1" x14ac:dyDescent="0.4">
      <c r="A23" s="11"/>
      <c r="B23" s="45"/>
      <c r="C23" s="11"/>
      <c r="D23" s="45"/>
      <c r="E23" s="337"/>
      <c r="F23" s="307"/>
      <c r="G23" s="280"/>
      <c r="H23" s="107"/>
      <c r="I23" s="107"/>
      <c r="J23" s="57"/>
      <c r="K23" s="58"/>
      <c r="L23" s="124"/>
      <c r="M23" s="101"/>
      <c r="N23" s="101"/>
      <c r="O23" s="101"/>
      <c r="P23" s="101"/>
      <c r="Q23" s="101"/>
      <c r="R23" s="101"/>
      <c r="S23" s="123"/>
      <c r="T23" s="12"/>
      <c r="U23" s="242"/>
      <c r="V23" s="241"/>
      <c r="W23" s="261"/>
      <c r="X23" s="261"/>
      <c r="Y23" s="307"/>
      <c r="Z23" s="280"/>
      <c r="AA23" s="174"/>
      <c r="AB23" s="174"/>
      <c r="AC23" s="232"/>
      <c r="AD23" s="233"/>
      <c r="AE23" s="234"/>
      <c r="AF23" s="170"/>
      <c r="AG23" s="170"/>
      <c r="AH23" s="170"/>
      <c r="AI23" s="170"/>
      <c r="AJ23" s="170"/>
      <c r="AK23" s="170"/>
      <c r="AL23" s="168"/>
      <c r="AM23" s="216"/>
    </row>
    <row r="24" spans="1:39" ht="15.65" customHeight="1" thickBot="1" x14ac:dyDescent="0.4">
      <c r="A24" s="11"/>
      <c r="B24" s="45"/>
      <c r="C24" s="11"/>
      <c r="D24" s="45"/>
      <c r="E24" s="337"/>
      <c r="F24" s="307"/>
      <c r="G24" s="280"/>
      <c r="H24" s="107"/>
      <c r="I24" s="107"/>
      <c r="J24" s="315" t="s">
        <v>48</v>
      </c>
      <c r="K24" s="333"/>
      <c r="L24" s="315" t="s">
        <v>37</v>
      </c>
      <c r="M24" s="317"/>
      <c r="N24" s="316"/>
      <c r="O24" s="125"/>
      <c r="P24" s="108"/>
      <c r="Q24" s="101"/>
      <c r="R24" s="101"/>
      <c r="S24" s="123"/>
      <c r="T24" s="12"/>
      <c r="U24" s="242"/>
      <c r="V24" s="241"/>
      <c r="W24" s="261"/>
      <c r="X24" s="261"/>
      <c r="Y24" s="307"/>
      <c r="Z24" s="280"/>
      <c r="AA24" s="174"/>
      <c r="AB24" s="174"/>
      <c r="AC24" s="315" t="s">
        <v>48</v>
      </c>
      <c r="AD24" s="316"/>
      <c r="AE24" s="315" t="s">
        <v>37</v>
      </c>
      <c r="AF24" s="317"/>
      <c r="AG24" s="316"/>
      <c r="AH24" s="171"/>
      <c r="AI24" s="172"/>
      <c r="AJ24" s="170"/>
      <c r="AK24" s="170"/>
      <c r="AL24" s="168"/>
      <c r="AM24" s="216"/>
    </row>
    <row r="25" spans="1:39" ht="15.65" customHeight="1" thickBot="1" x14ac:dyDescent="0.4">
      <c r="A25" s="11"/>
      <c r="B25" s="45"/>
      <c r="C25" s="11"/>
      <c r="D25" s="45"/>
      <c r="E25" s="337"/>
      <c r="F25" s="307"/>
      <c r="G25" s="280"/>
      <c r="H25" s="107"/>
      <c r="I25" s="107"/>
      <c r="J25" s="59" t="s">
        <v>15</v>
      </c>
      <c r="K25" s="60">
        <f>71.25/F8</f>
        <v>2.5</v>
      </c>
      <c r="L25" s="325" t="s">
        <v>21</v>
      </c>
      <c r="M25" s="310"/>
      <c r="N25" s="311"/>
      <c r="O25" s="125"/>
      <c r="P25" s="355" t="s">
        <v>60</v>
      </c>
      <c r="Q25" s="356"/>
      <c r="R25" s="357"/>
      <c r="S25" s="123"/>
      <c r="T25" s="12"/>
      <c r="U25" s="242"/>
      <c r="V25" s="241"/>
      <c r="W25" s="261"/>
      <c r="X25" s="261"/>
      <c r="Y25" s="307"/>
      <c r="Z25" s="280"/>
      <c r="AA25" s="174"/>
      <c r="AB25" s="174"/>
      <c r="AC25" s="59" t="s">
        <v>15</v>
      </c>
      <c r="AD25" s="151">
        <f>71.25/Y8</f>
        <v>19.256756756756754</v>
      </c>
      <c r="AE25" s="309" t="s">
        <v>21</v>
      </c>
      <c r="AF25" s="310"/>
      <c r="AG25" s="311"/>
      <c r="AH25" s="171"/>
      <c r="AI25" s="176"/>
      <c r="AJ25" s="170"/>
      <c r="AK25" s="170"/>
      <c r="AL25" s="168"/>
      <c r="AM25" s="216"/>
    </row>
    <row r="26" spans="1:39" ht="15" customHeight="1" x14ac:dyDescent="0.35">
      <c r="A26" s="11"/>
      <c r="B26" s="45"/>
      <c r="C26" s="11"/>
      <c r="D26" s="45"/>
      <c r="E26" s="337"/>
      <c r="F26" s="307"/>
      <c r="G26" s="280"/>
      <c r="H26" s="107"/>
      <c r="I26" s="107"/>
      <c r="J26" s="61" t="s">
        <v>49</v>
      </c>
      <c r="K26" s="62">
        <f>300/F10</f>
        <v>21.276595744680851</v>
      </c>
      <c r="L26" s="63" t="s">
        <v>12</v>
      </c>
      <c r="M26" s="64">
        <f>K30-N22</f>
        <v>-718.62589970973841</v>
      </c>
      <c r="N26" s="104" t="s">
        <v>24</v>
      </c>
      <c r="O26" s="125"/>
      <c r="P26" s="252" t="s">
        <v>61</v>
      </c>
      <c r="Q26" s="354" t="s">
        <v>62</v>
      </c>
      <c r="R26" s="254" t="s">
        <v>66</v>
      </c>
      <c r="S26" s="245"/>
      <c r="T26" s="12"/>
      <c r="U26" s="242"/>
      <c r="V26" s="241"/>
      <c r="W26" s="261"/>
      <c r="X26" s="261"/>
      <c r="Y26" s="307"/>
      <c r="Z26" s="280"/>
      <c r="AA26" s="174"/>
      <c r="AB26" s="174"/>
      <c r="AC26" s="61" t="s">
        <v>49</v>
      </c>
      <c r="AD26" s="69">
        <f>300/Y10</f>
        <v>163.04347826086956</v>
      </c>
      <c r="AE26" s="149" t="s">
        <v>12</v>
      </c>
      <c r="AF26" s="64">
        <f>AD30-AG22</f>
        <v>-712.29352221380395</v>
      </c>
      <c r="AG26" s="104" t="s">
        <v>24</v>
      </c>
      <c r="AH26" s="171"/>
      <c r="AI26" s="170"/>
      <c r="AJ26" s="170"/>
      <c r="AK26" s="170"/>
      <c r="AL26" s="168"/>
      <c r="AM26" s="216"/>
    </row>
    <row r="27" spans="1:39" ht="16" thickBot="1" x14ac:dyDescent="0.4">
      <c r="A27" s="11"/>
      <c r="B27" s="45"/>
      <c r="C27" s="11"/>
      <c r="D27" s="45"/>
      <c r="E27" s="337"/>
      <c r="F27" s="307"/>
      <c r="G27" s="280"/>
      <c r="H27" s="107"/>
      <c r="I27" s="107"/>
      <c r="J27" s="65" t="s">
        <v>3</v>
      </c>
      <c r="K27" s="62">
        <f>60*(LN(4*K25*1000/F14)-1)</f>
        <v>458.0236204603313</v>
      </c>
      <c r="L27" s="66" t="s">
        <v>13</v>
      </c>
      <c r="M27" s="67">
        <f>ATAN(-K27/M26)*K26*0.95/2/PI()</f>
        <v>1.8254271941087099</v>
      </c>
      <c r="N27" s="68" t="s">
        <v>57</v>
      </c>
      <c r="O27" s="125"/>
      <c r="P27" s="252">
        <v>1</v>
      </c>
      <c r="Q27" s="253">
        <v>1.1499999999999999</v>
      </c>
      <c r="R27" s="254">
        <v>4.08</v>
      </c>
      <c r="S27" s="123"/>
      <c r="T27" s="12"/>
      <c r="U27" s="242"/>
      <c r="V27" s="241"/>
      <c r="W27" s="261"/>
      <c r="X27" s="261"/>
      <c r="Y27" s="307"/>
      <c r="Z27" s="280"/>
      <c r="AA27" s="174"/>
      <c r="AB27" s="174"/>
      <c r="AC27" s="65" t="s">
        <v>3</v>
      </c>
      <c r="AD27" s="69">
        <f>60*(LN(4*AD25*1000/Y14)-1)</f>
        <v>580.38321632656744</v>
      </c>
      <c r="AE27" s="150" t="s">
        <v>13</v>
      </c>
      <c r="AF27" s="67">
        <f>ATAN(-AD27/AF26)*AD26*0.95/2/PI()</f>
        <v>16.854523036888921</v>
      </c>
      <c r="AG27" s="68" t="s">
        <v>57</v>
      </c>
      <c r="AH27" s="171"/>
      <c r="AI27" s="170"/>
      <c r="AJ27" s="170"/>
      <c r="AK27" s="170"/>
      <c r="AL27" s="168"/>
      <c r="AM27" s="216"/>
    </row>
    <row r="28" spans="1:39" x14ac:dyDescent="0.35">
      <c r="A28" s="11"/>
      <c r="B28" s="45"/>
      <c r="C28" s="11"/>
      <c r="D28" s="45"/>
      <c r="E28" s="337"/>
      <c r="F28" s="307"/>
      <c r="G28" s="280"/>
      <c r="H28" s="107"/>
      <c r="I28" s="107"/>
      <c r="J28" s="65" t="s">
        <v>5</v>
      </c>
      <c r="K28" s="69">
        <f>2*PI()/K26</f>
        <v>0.29530970943744056</v>
      </c>
      <c r="L28" s="126"/>
      <c r="M28" s="107"/>
      <c r="N28" s="107"/>
      <c r="O28" s="125"/>
      <c r="P28" s="255">
        <v>1.5</v>
      </c>
      <c r="Q28" s="253">
        <f>2*SQRT(P28/PI())</f>
        <v>1.381976597885342</v>
      </c>
      <c r="R28" s="254">
        <v>3.44</v>
      </c>
      <c r="S28" s="123"/>
      <c r="T28" s="12"/>
      <c r="U28" s="242"/>
      <c r="V28" s="241"/>
      <c r="W28" s="261"/>
      <c r="X28" s="261"/>
      <c r="Y28" s="307"/>
      <c r="Z28" s="280"/>
      <c r="AA28" s="174"/>
      <c r="AB28" s="174"/>
      <c r="AC28" s="65" t="s">
        <v>5</v>
      </c>
      <c r="AD28" s="69">
        <f>2*PI()/AD26</f>
        <v>3.8536869884034798E-2</v>
      </c>
      <c r="AE28" s="177"/>
      <c r="AF28" s="174"/>
      <c r="AG28" s="174"/>
      <c r="AH28" s="171"/>
      <c r="AI28" s="171"/>
      <c r="AJ28" s="170"/>
      <c r="AK28" s="173"/>
      <c r="AL28" s="168"/>
      <c r="AM28" s="216"/>
    </row>
    <row r="29" spans="1:39" ht="15" customHeight="1" thickBot="1" x14ac:dyDescent="0.4">
      <c r="A29" s="11"/>
      <c r="B29" s="45"/>
      <c r="C29" s="11"/>
      <c r="D29" s="45"/>
      <c r="E29" s="337"/>
      <c r="F29" s="307"/>
      <c r="G29" s="280"/>
      <c r="H29" s="107"/>
      <c r="I29" s="107"/>
      <c r="J29" s="65" t="s">
        <v>10</v>
      </c>
      <c r="K29" s="69">
        <f>K28*K25*1.05</f>
        <v>0.77518798727328153</v>
      </c>
      <c r="L29" s="349"/>
      <c r="M29" s="101"/>
      <c r="N29" s="101"/>
      <c r="O29" s="101"/>
      <c r="P29" s="358">
        <v>2.5</v>
      </c>
      <c r="Q29" s="256">
        <v>1.8</v>
      </c>
      <c r="R29" s="257">
        <v>2.77</v>
      </c>
      <c r="S29" s="123"/>
      <c r="T29" s="12"/>
      <c r="U29" s="242"/>
      <c r="V29" s="241"/>
      <c r="W29" s="261"/>
      <c r="X29" s="261"/>
      <c r="Y29" s="307"/>
      <c r="Z29" s="280"/>
      <c r="AA29" s="174"/>
      <c r="AB29" s="174"/>
      <c r="AC29" s="65" t="s">
        <v>10</v>
      </c>
      <c r="AD29" s="69">
        <f>AD28*AD25*1.05</f>
        <v>0.77919988599982515</v>
      </c>
      <c r="AE29" s="312"/>
      <c r="AF29" s="170"/>
      <c r="AG29" s="170"/>
      <c r="AH29" s="313"/>
      <c r="AI29" s="313"/>
      <c r="AJ29" s="170"/>
      <c r="AK29" s="174"/>
      <c r="AL29" s="168"/>
      <c r="AM29" s="216"/>
    </row>
    <row r="30" spans="1:39" ht="16" thickBot="1" x14ac:dyDescent="0.4">
      <c r="A30" s="11"/>
      <c r="B30" s="45"/>
      <c r="C30" s="11"/>
      <c r="D30" s="45"/>
      <c r="E30" s="338"/>
      <c r="F30" s="308"/>
      <c r="G30" s="281"/>
      <c r="H30" s="107"/>
      <c r="I30" s="107"/>
      <c r="J30" s="70" t="s">
        <v>11</v>
      </c>
      <c r="K30" s="71">
        <f>-K27*TAN(K29)</f>
        <v>-448.76482894639662</v>
      </c>
      <c r="L30" s="349"/>
      <c r="M30" s="101"/>
      <c r="N30" s="101"/>
      <c r="O30" s="350"/>
      <c r="P30" s="351"/>
      <c r="Q30" s="352"/>
      <c r="R30" s="351"/>
      <c r="S30" s="353"/>
      <c r="T30" s="12"/>
      <c r="U30" s="242"/>
      <c r="V30" s="241"/>
      <c r="W30" s="262"/>
      <c r="X30" s="262"/>
      <c r="Y30" s="308"/>
      <c r="Z30" s="281"/>
      <c r="AA30" s="174"/>
      <c r="AB30" s="174"/>
      <c r="AC30" s="70" t="s">
        <v>11</v>
      </c>
      <c r="AD30" s="71">
        <f>-AD27*TAN(AD29)</f>
        <v>-573.23269333679866</v>
      </c>
      <c r="AE30" s="312"/>
      <c r="AF30" s="170"/>
      <c r="AG30" s="170"/>
      <c r="AH30" s="314"/>
      <c r="AI30" s="314"/>
      <c r="AJ30" s="170"/>
      <c r="AK30" s="170"/>
      <c r="AL30" s="168"/>
      <c r="AM30" s="216"/>
    </row>
    <row r="31" spans="1:39" x14ac:dyDescent="0.35">
      <c r="A31" s="11"/>
      <c r="B31" s="45"/>
      <c r="C31" s="11"/>
      <c r="D31" s="45"/>
      <c r="E31" s="72"/>
      <c r="F31" s="128"/>
      <c r="G31" s="129"/>
      <c r="H31" s="107"/>
      <c r="I31" s="107"/>
      <c r="J31" s="130"/>
      <c r="K31" s="101"/>
      <c r="L31" s="131" t="s">
        <v>30</v>
      </c>
      <c r="M31" s="101"/>
      <c r="N31" s="101"/>
      <c r="O31" s="350"/>
      <c r="P31" s="351"/>
      <c r="Q31" s="352"/>
      <c r="R31" s="351"/>
      <c r="S31" s="353"/>
      <c r="T31" s="12"/>
      <c r="U31" s="242"/>
      <c r="V31" s="241"/>
      <c r="W31" s="174"/>
      <c r="X31" s="186"/>
      <c r="Y31" s="187"/>
      <c r="Z31" s="188"/>
      <c r="AA31" s="174"/>
      <c r="AB31" s="174"/>
      <c r="AC31" s="189"/>
      <c r="AD31" s="170"/>
      <c r="AE31" s="178" t="s">
        <v>30</v>
      </c>
      <c r="AF31" s="170"/>
      <c r="AG31" s="170"/>
      <c r="AH31" s="175"/>
      <c r="AI31" s="175"/>
      <c r="AJ31" s="170"/>
      <c r="AK31" s="170"/>
      <c r="AL31" s="168"/>
      <c r="AM31" s="216"/>
    </row>
    <row r="32" spans="1:39" ht="16" thickBot="1" x14ac:dyDescent="0.4">
      <c r="A32" s="11"/>
      <c r="B32" s="45"/>
      <c r="C32" s="11"/>
      <c r="D32" s="45"/>
      <c r="E32" s="73"/>
      <c r="F32" s="107"/>
      <c r="G32" s="107"/>
      <c r="H32" s="107"/>
      <c r="I32" s="107"/>
      <c r="J32" s="346">
        <f>K30</f>
        <v>-448.76482894639662</v>
      </c>
      <c r="K32" s="346"/>
      <c r="L32" s="133" t="s">
        <v>24</v>
      </c>
      <c r="M32" s="125">
        <f>M26</f>
        <v>-718.62589970973841</v>
      </c>
      <c r="N32" s="125"/>
      <c r="O32" s="101"/>
      <c r="P32" s="101"/>
      <c r="Q32" s="101"/>
      <c r="R32" s="101"/>
      <c r="S32" s="123"/>
      <c r="T32" s="12"/>
      <c r="U32" s="242"/>
      <c r="V32" s="241"/>
      <c r="W32" s="174"/>
      <c r="X32" s="190"/>
      <c r="Y32" s="174"/>
      <c r="Z32" s="174"/>
      <c r="AA32" s="174"/>
      <c r="AB32" s="174"/>
      <c r="AC32" s="277">
        <f>AD30</f>
        <v>-573.23269333679866</v>
      </c>
      <c r="AD32" s="277"/>
      <c r="AE32" s="179" t="s">
        <v>24</v>
      </c>
      <c r="AF32" s="171">
        <f>AF26</f>
        <v>-712.29352221380395</v>
      </c>
      <c r="AG32" s="171"/>
      <c r="AH32" s="170"/>
      <c r="AI32" s="170"/>
      <c r="AJ32" s="170"/>
      <c r="AK32" s="170"/>
      <c r="AL32" s="168"/>
      <c r="AM32" s="216"/>
    </row>
    <row r="33" spans="1:39" ht="16" thickBot="1" x14ac:dyDescent="0.4">
      <c r="A33" s="11"/>
      <c r="B33" s="45"/>
      <c r="C33" s="11"/>
      <c r="D33" s="45"/>
      <c r="E33" s="73"/>
      <c r="F33" s="107"/>
      <c r="G33" s="107"/>
      <c r="H33" s="107"/>
      <c r="I33" s="107"/>
      <c r="J33" s="134"/>
      <c r="K33" s="101"/>
      <c r="L33" s="74">
        <f>ROUND(+N22,0)</f>
        <v>270</v>
      </c>
      <c r="M33" s="127"/>
      <c r="N33" s="127"/>
      <c r="O33" s="101"/>
      <c r="P33" s="101"/>
      <c r="Q33" s="101"/>
      <c r="R33" s="108"/>
      <c r="S33" s="123"/>
      <c r="T33" s="12"/>
      <c r="U33" s="242"/>
      <c r="V33" s="241"/>
      <c r="W33" s="174"/>
      <c r="X33" s="190"/>
      <c r="Y33" s="174"/>
      <c r="Z33" s="174"/>
      <c r="AA33" s="174"/>
      <c r="AB33" s="174"/>
      <c r="AC33" s="191"/>
      <c r="AD33" s="170"/>
      <c r="AE33" s="180">
        <f>ROUND(+AG22,0)</f>
        <v>139</v>
      </c>
      <c r="AF33" s="173"/>
      <c r="AG33" s="173"/>
      <c r="AH33" s="170"/>
      <c r="AI33" s="170"/>
      <c r="AJ33" s="170"/>
      <c r="AK33" s="170"/>
      <c r="AL33" s="168"/>
      <c r="AM33" s="216"/>
    </row>
    <row r="34" spans="1:39" x14ac:dyDescent="0.35">
      <c r="A34" s="11"/>
      <c r="B34" s="45"/>
      <c r="C34" s="11"/>
      <c r="D34" s="45"/>
      <c r="E34" s="73"/>
      <c r="F34" s="107"/>
      <c r="G34" s="107"/>
      <c r="H34" s="107"/>
      <c r="I34" s="107"/>
      <c r="J34" s="135">
        <f>K25</f>
        <v>2.5</v>
      </c>
      <c r="K34" s="125" t="s">
        <v>14</v>
      </c>
      <c r="L34" s="136"/>
      <c r="M34" s="137">
        <f>M27</f>
        <v>1.8254271941087099</v>
      </c>
      <c r="N34" s="101" t="s">
        <v>14</v>
      </c>
      <c r="O34" s="101"/>
      <c r="P34" s="101"/>
      <c r="Q34" s="101"/>
      <c r="R34" s="101"/>
      <c r="S34" s="123"/>
      <c r="T34" s="12"/>
      <c r="U34" s="242"/>
      <c r="V34" s="241"/>
      <c r="W34" s="174"/>
      <c r="X34" s="190"/>
      <c r="Y34" s="174"/>
      <c r="Z34" s="174"/>
      <c r="AA34" s="174"/>
      <c r="AB34" s="174"/>
      <c r="AC34" s="192">
        <f>AD25</f>
        <v>19.256756756756754</v>
      </c>
      <c r="AD34" s="171" t="s">
        <v>14</v>
      </c>
      <c r="AE34" s="181"/>
      <c r="AF34" s="182">
        <f>AF27</f>
        <v>16.854523036888921</v>
      </c>
      <c r="AG34" s="170" t="s">
        <v>14</v>
      </c>
      <c r="AH34" s="170"/>
      <c r="AI34" s="170"/>
      <c r="AJ34" s="170"/>
      <c r="AK34" s="170"/>
      <c r="AL34" s="168"/>
      <c r="AM34" s="216"/>
    </row>
    <row r="35" spans="1:39" x14ac:dyDescent="0.35">
      <c r="A35" s="11"/>
      <c r="B35" s="45"/>
      <c r="C35" s="11"/>
      <c r="D35" s="45"/>
      <c r="E35" s="73"/>
      <c r="F35" s="107"/>
      <c r="G35" s="107"/>
      <c r="H35" s="107"/>
      <c r="I35" s="107"/>
      <c r="J35" s="138" t="s">
        <v>28</v>
      </c>
      <c r="K35" s="125" t="s">
        <v>29</v>
      </c>
      <c r="L35" s="139" t="s">
        <v>50</v>
      </c>
      <c r="M35" s="132"/>
      <c r="N35" s="132"/>
      <c r="O35" s="101"/>
      <c r="P35" s="101"/>
      <c r="Q35" s="101"/>
      <c r="R35" s="101"/>
      <c r="S35" s="123"/>
      <c r="T35" s="12"/>
      <c r="U35" s="242"/>
      <c r="V35" s="241"/>
      <c r="W35" s="174"/>
      <c r="X35" s="190"/>
      <c r="Y35" s="174"/>
      <c r="Z35" s="174"/>
      <c r="AA35" s="174"/>
      <c r="AB35" s="174"/>
      <c r="AC35" s="193" t="s">
        <v>28</v>
      </c>
      <c r="AD35" s="171" t="s">
        <v>29</v>
      </c>
      <c r="AE35" s="183" t="s">
        <v>50</v>
      </c>
      <c r="AF35" s="184"/>
      <c r="AG35" s="184"/>
      <c r="AH35" s="170"/>
      <c r="AI35" s="170"/>
      <c r="AJ35" s="170"/>
      <c r="AK35" s="170"/>
      <c r="AL35" s="168"/>
      <c r="AM35" s="216"/>
    </row>
    <row r="36" spans="1:39" x14ac:dyDescent="0.35">
      <c r="A36" s="11"/>
      <c r="B36" s="45"/>
      <c r="C36" s="11"/>
      <c r="D36" s="45"/>
      <c r="E36" s="73"/>
      <c r="F36" s="107"/>
      <c r="G36" s="107"/>
      <c r="H36" s="107"/>
      <c r="I36" s="107"/>
      <c r="J36" s="135"/>
      <c r="K36" s="125"/>
      <c r="L36" s="122"/>
      <c r="M36" s="132" t="str">
        <f>"X"</f>
        <v>X</v>
      </c>
      <c r="N36" s="132"/>
      <c r="O36" s="101"/>
      <c r="P36" s="101"/>
      <c r="Q36" s="101"/>
      <c r="R36" s="101"/>
      <c r="S36" s="123"/>
      <c r="T36" s="12"/>
      <c r="U36" s="242"/>
      <c r="V36" s="241"/>
      <c r="W36" s="174"/>
      <c r="X36" s="190"/>
      <c r="Y36" s="174"/>
      <c r="Z36" s="174"/>
      <c r="AA36" s="174"/>
      <c r="AB36" s="174"/>
      <c r="AC36" s="192"/>
      <c r="AD36" s="171"/>
      <c r="AE36" s="185"/>
      <c r="AF36" s="184" t="str">
        <f>"X"</f>
        <v>X</v>
      </c>
      <c r="AG36" s="184"/>
      <c r="AH36" s="170"/>
      <c r="AI36" s="170"/>
      <c r="AJ36" s="170"/>
      <c r="AK36" s="170"/>
      <c r="AL36" s="168"/>
      <c r="AM36" s="216"/>
    </row>
    <row r="37" spans="1:39" x14ac:dyDescent="0.35">
      <c r="A37" s="11"/>
      <c r="B37" s="45"/>
      <c r="C37" s="11"/>
      <c r="D37" s="45"/>
      <c r="E37" s="73"/>
      <c r="F37" s="107"/>
      <c r="G37" s="107"/>
      <c r="H37" s="107"/>
      <c r="I37" s="107"/>
      <c r="J37" s="134"/>
      <c r="K37" s="101"/>
      <c r="L37" s="122"/>
      <c r="M37" s="101" t="s">
        <v>31</v>
      </c>
      <c r="N37" s="101"/>
      <c r="O37" s="140"/>
      <c r="P37" s="101"/>
      <c r="Q37" s="101"/>
      <c r="R37" s="101"/>
      <c r="S37" s="123"/>
      <c r="T37" s="12"/>
      <c r="U37" s="242"/>
      <c r="V37" s="241"/>
      <c r="W37" s="174"/>
      <c r="X37" s="190"/>
      <c r="Y37" s="174"/>
      <c r="Z37" s="174"/>
      <c r="AA37" s="174"/>
      <c r="AB37" s="174"/>
      <c r="AC37" s="191"/>
      <c r="AD37" s="170"/>
      <c r="AE37" s="185"/>
      <c r="AF37" s="170" t="s">
        <v>31</v>
      </c>
      <c r="AG37" s="170"/>
      <c r="AH37" s="176"/>
      <c r="AI37" s="170"/>
      <c r="AJ37" s="170"/>
      <c r="AK37" s="170"/>
      <c r="AL37" s="168"/>
      <c r="AM37" s="216"/>
    </row>
    <row r="38" spans="1:39" x14ac:dyDescent="0.35">
      <c r="A38" s="11"/>
      <c r="B38" s="45"/>
      <c r="C38" s="11"/>
      <c r="D38" s="45"/>
      <c r="E38" s="73"/>
      <c r="F38" s="107"/>
      <c r="G38" s="107"/>
      <c r="H38" s="107"/>
      <c r="I38" s="107"/>
      <c r="J38" s="134"/>
      <c r="K38" s="101"/>
      <c r="L38" s="122"/>
      <c r="M38" s="101"/>
      <c r="N38" s="101"/>
      <c r="O38" s="101"/>
      <c r="P38" s="101"/>
      <c r="Q38" s="101"/>
      <c r="R38" s="101"/>
      <c r="S38" s="123"/>
      <c r="T38" s="12"/>
      <c r="U38" s="242"/>
      <c r="V38" s="241"/>
      <c r="W38" s="174"/>
      <c r="X38" s="190"/>
      <c r="Y38" s="174"/>
      <c r="Z38" s="174"/>
      <c r="AA38" s="174"/>
      <c r="AB38" s="174"/>
      <c r="AC38" s="191"/>
      <c r="AD38" s="170"/>
      <c r="AE38" s="185"/>
      <c r="AF38" s="170"/>
      <c r="AG38" s="170"/>
      <c r="AH38" s="170"/>
      <c r="AI38" s="170"/>
      <c r="AJ38" s="170"/>
      <c r="AK38" s="170"/>
      <c r="AL38" s="168"/>
      <c r="AM38" s="216"/>
    </row>
    <row r="39" spans="1:39" x14ac:dyDescent="0.35">
      <c r="A39" s="11"/>
      <c r="B39" s="45"/>
      <c r="C39" s="11"/>
      <c r="D39" s="45"/>
      <c r="E39" s="73"/>
      <c r="F39" s="107"/>
      <c r="G39" s="326" t="s">
        <v>22</v>
      </c>
      <c r="H39" s="326"/>
      <c r="I39" s="141"/>
      <c r="J39" s="142"/>
      <c r="K39" s="143"/>
      <c r="L39" s="114"/>
      <c r="M39" s="109"/>
      <c r="N39" s="109"/>
      <c r="O39" s="143"/>
      <c r="P39" s="143"/>
      <c r="Q39" s="109"/>
      <c r="R39" s="143"/>
      <c r="S39" s="123"/>
      <c r="T39" s="12"/>
      <c r="U39" s="242"/>
      <c r="V39" s="241"/>
      <c r="W39" s="174"/>
      <c r="X39" s="190"/>
      <c r="Y39" s="174"/>
      <c r="Z39" s="278" t="s">
        <v>22</v>
      </c>
      <c r="AA39" s="278"/>
      <c r="AB39" s="194"/>
      <c r="AC39" s="191"/>
      <c r="AD39" s="170"/>
      <c r="AE39" s="114"/>
      <c r="AF39" s="109"/>
      <c r="AG39" s="109"/>
      <c r="AH39" s="143"/>
      <c r="AI39" s="143"/>
      <c r="AJ39" s="109"/>
      <c r="AK39" s="143"/>
      <c r="AL39" s="168"/>
      <c r="AM39" s="216"/>
    </row>
    <row r="40" spans="1:39" x14ac:dyDescent="0.35">
      <c r="A40" s="11"/>
      <c r="B40" s="45"/>
      <c r="C40" s="11"/>
      <c r="D40" s="45"/>
      <c r="E40" s="73"/>
      <c r="F40" s="107"/>
      <c r="G40" s="107"/>
      <c r="H40" s="107"/>
      <c r="I40" s="107"/>
      <c r="J40" s="142"/>
      <c r="K40" s="143"/>
      <c r="L40" s="144"/>
      <c r="M40" s="143"/>
      <c r="N40" s="143"/>
      <c r="O40" s="143"/>
      <c r="P40" s="143"/>
      <c r="Q40" s="143"/>
      <c r="R40" s="143"/>
      <c r="S40" s="123"/>
      <c r="T40" s="12"/>
      <c r="U40" s="242"/>
      <c r="V40" s="241"/>
      <c r="W40" s="174"/>
      <c r="X40" s="190"/>
      <c r="Y40" s="174"/>
      <c r="Z40" s="174"/>
      <c r="AA40" s="174"/>
      <c r="AB40" s="174"/>
      <c r="AC40" s="191"/>
      <c r="AD40" s="170"/>
      <c r="AE40" s="144"/>
      <c r="AF40" s="143"/>
      <c r="AG40" s="143"/>
      <c r="AH40" s="143"/>
      <c r="AI40" s="143"/>
      <c r="AJ40" s="143"/>
      <c r="AK40" s="143"/>
      <c r="AL40" s="168"/>
      <c r="AM40" s="216"/>
    </row>
    <row r="41" spans="1:39" x14ac:dyDescent="0.35">
      <c r="A41" s="11"/>
      <c r="B41" s="45"/>
      <c r="C41" s="11"/>
      <c r="D41" s="45"/>
      <c r="E41" s="73"/>
      <c r="F41" s="107"/>
      <c r="G41" s="107"/>
      <c r="H41" s="107"/>
      <c r="I41" s="107"/>
      <c r="J41" s="142"/>
      <c r="K41" s="143"/>
      <c r="L41" s="144"/>
      <c r="M41" s="143"/>
      <c r="N41" s="143"/>
      <c r="O41" s="145"/>
      <c r="P41" s="145"/>
      <c r="Q41" s="143"/>
      <c r="R41" s="143"/>
      <c r="S41" s="123"/>
      <c r="T41" s="12"/>
      <c r="U41" s="242"/>
      <c r="V41" s="241"/>
      <c r="W41" s="174"/>
      <c r="X41" s="190"/>
      <c r="Y41" s="174"/>
      <c r="Z41" s="174"/>
      <c r="AA41" s="174"/>
      <c r="AB41" s="174"/>
      <c r="AC41" s="191"/>
      <c r="AD41" s="170"/>
      <c r="AE41" s="144"/>
      <c r="AF41" s="143"/>
      <c r="AG41" s="143"/>
      <c r="AH41" s="145"/>
      <c r="AI41" s="145"/>
      <c r="AJ41" s="143"/>
      <c r="AK41" s="143"/>
      <c r="AL41" s="168"/>
      <c r="AM41" s="216"/>
    </row>
    <row r="42" spans="1:39" ht="16" thickBot="1" x14ac:dyDescent="0.4">
      <c r="A42" s="11"/>
      <c r="B42" s="75"/>
      <c r="C42" s="11"/>
      <c r="D42" s="45"/>
      <c r="E42" s="73"/>
      <c r="F42" s="107"/>
      <c r="G42" s="107"/>
      <c r="H42" s="107"/>
      <c r="I42" s="107"/>
      <c r="J42" s="134"/>
      <c r="K42" s="101"/>
      <c r="L42" s="122"/>
      <c r="M42" s="101"/>
      <c r="N42" s="101"/>
      <c r="O42" s="101"/>
      <c r="P42" s="101"/>
      <c r="Q42" s="101"/>
      <c r="R42" s="101"/>
      <c r="S42" s="123"/>
      <c r="T42" s="12"/>
      <c r="U42" s="242"/>
      <c r="V42" s="241"/>
      <c r="W42" s="195"/>
      <c r="X42" s="190"/>
      <c r="Y42" s="174"/>
      <c r="Z42" s="174"/>
      <c r="AA42" s="174"/>
      <c r="AB42" s="174"/>
      <c r="AC42" s="191"/>
      <c r="AD42" s="170"/>
      <c r="AE42" s="122"/>
      <c r="AF42" s="101"/>
      <c r="AG42" s="101"/>
      <c r="AH42" s="101"/>
      <c r="AI42" s="101"/>
      <c r="AJ42" s="101"/>
      <c r="AK42" s="101"/>
      <c r="AL42" s="168"/>
      <c r="AM42" s="216"/>
    </row>
    <row r="43" spans="1:39" ht="16" thickBot="1" x14ac:dyDescent="0.4">
      <c r="A43" s="11"/>
      <c r="B43" s="76"/>
      <c r="C43" s="11"/>
      <c r="D43" s="75"/>
      <c r="E43" s="77"/>
      <c r="F43" s="78"/>
      <c r="G43" s="78"/>
      <c r="H43" s="78"/>
      <c r="I43" s="78"/>
      <c r="J43" s="79"/>
      <c r="K43" s="80"/>
      <c r="L43" s="81"/>
      <c r="M43" s="80"/>
      <c r="N43" s="80"/>
      <c r="O43" s="80"/>
      <c r="P43" s="80"/>
      <c r="Q43" s="80"/>
      <c r="R43" s="80"/>
      <c r="S43" s="146"/>
      <c r="T43" s="12"/>
      <c r="U43" s="242"/>
      <c r="V43" s="241"/>
      <c r="W43" s="196"/>
      <c r="X43" s="197"/>
      <c r="Y43" s="198"/>
      <c r="Z43" s="198"/>
      <c r="AA43" s="198"/>
      <c r="AB43" s="198"/>
      <c r="AC43" s="199"/>
      <c r="AD43" s="200"/>
      <c r="AE43" s="235"/>
      <c r="AF43" s="200"/>
      <c r="AG43" s="200"/>
      <c r="AH43" s="200"/>
      <c r="AI43" s="200"/>
      <c r="AJ43" s="200"/>
      <c r="AK43" s="200"/>
      <c r="AL43" s="169"/>
      <c r="AM43" s="216"/>
    </row>
    <row r="44" spans="1:39" ht="16.5" thickTop="1" thickBot="1" x14ac:dyDescent="0.4">
      <c r="A44" s="82"/>
      <c r="C44" s="82"/>
      <c r="D44" s="76"/>
      <c r="E44" s="83"/>
      <c r="F44" s="76"/>
      <c r="G44" s="76"/>
      <c r="H44" s="76"/>
      <c r="I44" s="76"/>
      <c r="J44" s="84"/>
      <c r="K44" s="85"/>
      <c r="L44" s="86"/>
      <c r="M44" s="85"/>
      <c r="N44" s="85"/>
      <c r="O44" s="85"/>
      <c r="P44" s="85"/>
      <c r="Q44" s="85"/>
      <c r="R44" s="87"/>
      <c r="S44" s="88"/>
      <c r="T44" s="76"/>
      <c r="U44" s="242"/>
      <c r="V44" s="201"/>
      <c r="W44" s="201"/>
      <c r="X44" s="202"/>
      <c r="Y44" s="201"/>
      <c r="Z44" s="201"/>
      <c r="AA44" s="201"/>
      <c r="AB44" s="201"/>
      <c r="AC44" s="203"/>
      <c r="AD44" s="204"/>
      <c r="AE44" s="205"/>
      <c r="AF44" s="204"/>
      <c r="AG44" s="204"/>
      <c r="AH44" s="204"/>
      <c r="AI44" s="204"/>
      <c r="AJ44" s="204"/>
      <c r="AK44" s="206"/>
      <c r="AL44" s="207"/>
      <c r="AM44" s="236"/>
    </row>
    <row r="45" spans="1:39" ht="16" thickTop="1" x14ac:dyDescent="0.35"/>
  </sheetData>
  <mergeCells count="70">
    <mergeCell ref="G39:H39"/>
    <mergeCell ref="E3:S4"/>
    <mergeCell ref="J22:M22"/>
    <mergeCell ref="J24:K24"/>
    <mergeCell ref="F14:G14"/>
    <mergeCell ref="F15:G15"/>
    <mergeCell ref="E18:E30"/>
    <mergeCell ref="F10:G10"/>
    <mergeCell ref="O10:P10"/>
    <mergeCell ref="Q10:S10"/>
    <mergeCell ref="F11:G11"/>
    <mergeCell ref="J32:K32"/>
    <mergeCell ref="E7:G7"/>
    <mergeCell ref="J7:M7"/>
    <mergeCell ref="F8:G8"/>
    <mergeCell ref="L29:L30"/>
    <mergeCell ref="F12:G12"/>
    <mergeCell ref="F13:G13"/>
    <mergeCell ref="F18:F30"/>
    <mergeCell ref="G18:G30"/>
    <mergeCell ref="L24:N24"/>
    <mergeCell ref="L25:N25"/>
    <mergeCell ref="J12:P12"/>
    <mergeCell ref="F9:G9"/>
    <mergeCell ref="AK20:AL20"/>
    <mergeCell ref="AC22:AF22"/>
    <mergeCell ref="Y17:Y30"/>
    <mergeCell ref="AK18:AL18"/>
    <mergeCell ref="AK19:AL19"/>
    <mergeCell ref="AE25:AG25"/>
    <mergeCell ref="AE29:AE30"/>
    <mergeCell ref="AH29:AI29"/>
    <mergeCell ref="AH30:AI30"/>
    <mergeCell ref="AC24:AD24"/>
    <mergeCell ref="AE24:AG24"/>
    <mergeCell ref="AC18:AI18"/>
    <mergeCell ref="AG14:AH14"/>
    <mergeCell ref="AI14:AJ14"/>
    <mergeCell ref="J18:M18"/>
    <mergeCell ref="AC32:AD32"/>
    <mergeCell ref="Z39:AA39"/>
    <mergeCell ref="Z17:Z30"/>
    <mergeCell ref="Y15:Z15"/>
    <mergeCell ref="W3:AL4"/>
    <mergeCell ref="W13:X13"/>
    <mergeCell ref="AK9:AL9"/>
    <mergeCell ref="AK10:AL10"/>
    <mergeCell ref="AI9:AJ9"/>
    <mergeCell ref="AI10:AJ10"/>
    <mergeCell ref="AG13:AH13"/>
    <mergeCell ref="AI13:AJ13"/>
    <mergeCell ref="AC12:AJ12"/>
    <mergeCell ref="AC7:AF7"/>
    <mergeCell ref="AI7:AL7"/>
    <mergeCell ref="Y8:Z8"/>
    <mergeCell ref="Y13:Z13"/>
    <mergeCell ref="Y14:Z14"/>
    <mergeCell ref="W17:X30"/>
    <mergeCell ref="P7:S7"/>
    <mergeCell ref="N14:O14"/>
    <mergeCell ref="N13:O13"/>
    <mergeCell ref="R19:S19"/>
    <mergeCell ref="Q9:S9"/>
    <mergeCell ref="P25:R25"/>
    <mergeCell ref="R20:S20"/>
    <mergeCell ref="Y9:Z9"/>
    <mergeCell ref="Y10:Z10"/>
    <mergeCell ref="W7:Z7"/>
    <mergeCell ref="Y11:Z11"/>
    <mergeCell ref="Y12:Z12"/>
  </mergeCells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CALCULO DE TRAMPAS PARA DIPOLOS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</dc:creator>
  <cp:lastModifiedBy>Usuario de Windows</cp:lastModifiedBy>
  <cp:lastPrinted>2023-03-30T10:17:01Z</cp:lastPrinted>
  <dcterms:created xsi:type="dcterms:W3CDTF">2011-03-29T15:30:00Z</dcterms:created>
  <dcterms:modified xsi:type="dcterms:W3CDTF">2026-10-24T19:07:41Z</dcterms:modified>
</cp:coreProperties>
</file>