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s Documentos\ANTENAS\Apuntes antenas\Calculadores\"/>
    </mc:Choice>
  </mc:AlternateContent>
  <xr:revisionPtr revIDLastSave="0" documentId="13_ncr:1_{1204B17C-FD2E-484B-BD0F-4D5FE25ADB1A}" xr6:coauthVersionLast="36" xr6:coauthVersionMax="47" xr10:uidLastSave="{00000000-0000-0000-0000-000000000000}"/>
  <bookViews>
    <workbookView minimized="1" xWindow="2600" yWindow="780" windowWidth="17280" windowHeight="8960" xr2:uid="{00000000-000D-0000-FFFF-FFFF00000000}"/>
  </bookViews>
  <sheets>
    <sheet name="Hoja1" sheetId="1" r:id="rId1"/>
    <sheet name="Hoja2" sheetId="2" r:id="rId2"/>
  </sheets>
  <calcPr calcId="191029"/>
</workbook>
</file>

<file path=xl/calcChain.xml><?xml version="1.0" encoding="utf-8"?>
<calcChain xmlns="http://schemas.openxmlformats.org/spreadsheetml/2006/main">
  <c r="L37" i="1" l="1"/>
  <c r="L38" i="1" s="1"/>
  <c r="G35" i="1" l="1"/>
  <c r="G37" i="1" s="1"/>
  <c r="U3" i="1"/>
  <c r="U4" i="1"/>
  <c r="U6" i="1"/>
  <c r="U8" i="1"/>
  <c r="U9" i="1"/>
  <c r="U10" i="1"/>
  <c r="U11" i="1"/>
  <c r="U12" i="1"/>
  <c r="T14" i="1"/>
  <c r="T16" i="1"/>
  <c r="U17" i="1"/>
  <c r="U18" i="1"/>
  <c r="U19" i="1"/>
  <c r="U20" i="1"/>
  <c r="U21" i="1"/>
  <c r="U22" i="1"/>
  <c r="U24" i="1"/>
  <c r="U25" i="1"/>
  <c r="U26" i="1"/>
  <c r="U27" i="1"/>
  <c r="U28" i="1"/>
  <c r="U31" i="1"/>
  <c r="U32" i="1"/>
  <c r="U33" i="1"/>
  <c r="U37" i="1"/>
  <c r="U38" i="1"/>
  <c r="U39" i="1"/>
  <c r="U40" i="1"/>
  <c r="U41" i="1"/>
  <c r="U42" i="1"/>
  <c r="U43" i="1"/>
  <c r="U44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G36" i="1" l="1"/>
  <c r="G39" i="1" s="1"/>
  <c r="G10" i="1"/>
  <c r="G11" i="1" s="1"/>
  <c r="G12" i="1" s="1"/>
  <c r="G17" i="1" l="1"/>
  <c r="G18" i="1" s="1"/>
  <c r="G16" i="1"/>
  <c r="G20" i="1" l="1"/>
  <c r="G38" i="1"/>
  <c r="K12" i="1"/>
  <c r="N12" i="1" s="1"/>
  <c r="M12" i="1" s="1"/>
  <c r="G19" i="1"/>
  <c r="G21" i="1"/>
  <c r="G41" i="1" l="1"/>
  <c r="G43" i="1" s="1"/>
  <c r="G44" i="1" s="1"/>
  <c r="V3" i="1"/>
  <c r="V19" i="1"/>
  <c r="V31" i="1"/>
  <c r="V43" i="1"/>
  <c r="V61" i="1"/>
  <c r="V70" i="1"/>
  <c r="V79" i="1"/>
  <c r="V88" i="1"/>
  <c r="V97" i="1"/>
  <c r="V37" i="1"/>
  <c r="V55" i="1"/>
  <c r="V64" i="1"/>
  <c r="V73" i="1"/>
  <c r="V82" i="1"/>
  <c r="V91" i="1"/>
  <c r="V100" i="1"/>
  <c r="V22" i="1"/>
  <c r="V11" i="1"/>
  <c r="K6" i="1"/>
  <c r="V26" i="1"/>
  <c r="V40" i="1"/>
  <c r="V58" i="1"/>
  <c r="V67" i="1"/>
  <c r="V76" i="1"/>
  <c r="V85" i="1"/>
  <c r="V94" i="1"/>
  <c r="U14" i="1"/>
  <c r="V72" i="1"/>
  <c r="V44" i="1"/>
  <c r="V28" i="1"/>
  <c r="V63" i="1"/>
  <c r="V18" i="1"/>
  <c r="V10" i="1"/>
  <c r="V54" i="1"/>
  <c r="V20" i="1"/>
  <c r="V9" i="1"/>
  <c r="V86" i="1"/>
  <c r="V77" i="1"/>
  <c r="V21" i="1"/>
  <c r="V59" i="1"/>
  <c r="V78" i="1"/>
  <c r="V69" i="1"/>
  <c r="V75" i="1"/>
  <c r="V90" i="1"/>
  <c r="V12" i="1"/>
  <c r="V39" i="1"/>
  <c r="V32" i="1"/>
  <c r="V25" i="1"/>
  <c r="V95" i="1"/>
  <c r="V92" i="1"/>
  <c r="V8" i="1"/>
  <c r="V6" i="1"/>
  <c r="V68" i="1"/>
  <c r="V89" i="1"/>
  <c r="V24" i="1"/>
  <c r="V60" i="1"/>
  <c r="V42" i="1"/>
  <c r="V56" i="1"/>
  <c r="V83" i="1"/>
  <c r="V33" i="1"/>
  <c r="V4" i="1"/>
  <c r="V74" i="1"/>
  <c r="V96" i="1"/>
  <c r="V84" i="1"/>
  <c r="V41" i="1"/>
  <c r="V71" i="1"/>
  <c r="V66" i="1"/>
  <c r="V17" i="1"/>
  <c r="V81" i="1"/>
  <c r="V38" i="1"/>
  <c r="V65" i="1"/>
  <c r="V98" i="1"/>
  <c r="V87" i="1"/>
  <c r="V80" i="1"/>
  <c r="V99" i="1"/>
  <c r="V62" i="1"/>
  <c r="U16" i="1"/>
  <c r="V93" i="1"/>
  <c r="V57" i="1"/>
  <c r="V27" i="1"/>
  <c r="J6" i="1"/>
  <c r="G22" i="1"/>
  <c r="G42" i="1" l="1"/>
  <c r="W3" i="1"/>
  <c r="N6" i="1"/>
  <c r="M6" i="1" s="1"/>
  <c r="O6" i="1"/>
  <c r="L6" i="1"/>
  <c r="R6" i="1" l="1"/>
  <c r="Q6" i="1" s="1"/>
  <c r="P6" i="1"/>
  <c r="K26" i="1" l="1"/>
  <c r="K28" i="1" s="1"/>
  <c r="L26" i="1"/>
  <c r="M28" i="1"/>
  <c r="K30" i="1"/>
  <c r="K32" i="1" s="1"/>
  <c r="M32" i="1"/>
  <c r="L30" i="1"/>
  <c r="L32" i="1" s="1"/>
  <c r="G25" i="1" l="1"/>
  <c r="G27" i="1" s="1"/>
  <c r="G24" i="1"/>
  <c r="G47" i="1" s="1"/>
  <c r="G53" i="1" s="1"/>
  <c r="L28" i="1"/>
  <c r="G50" i="1" l="1"/>
  <c r="G54" i="1"/>
  <c r="G28" i="1"/>
  <c r="G26" i="1"/>
  <c r="G48" i="1"/>
  <c r="G49" i="1"/>
  <c r="G51" i="1"/>
  <c r="G32" i="1" l="1"/>
  <c r="G30" i="1" s="1"/>
  <c r="G31" i="1"/>
  <c r="G29" i="1" l="1"/>
  <c r="P25" i="1"/>
  <c r="P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 de Windows</author>
  </authors>
  <commentList>
    <comment ref="G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Si el radiador no es circular esta celda DEBE VALER CERO</t>
        </r>
      </text>
    </comment>
  </commentList>
</comments>
</file>

<file path=xl/sharedStrings.xml><?xml version="1.0" encoding="utf-8"?>
<sst xmlns="http://schemas.openxmlformats.org/spreadsheetml/2006/main" count="135" uniqueCount="103">
  <si>
    <t>Radio (mts)</t>
  </si>
  <si>
    <t>Nº de lados</t>
  </si>
  <si>
    <t>Factor equiv.</t>
  </si>
  <si>
    <t>ALTURA (MTS)</t>
  </si>
  <si>
    <t>FRECUENCIA (MHz)</t>
  </si>
  <si>
    <t>Longitud de onda (λ)</t>
  </si>
  <si>
    <t>Longitud Electrica (H)</t>
  </si>
  <si>
    <t>R. Radiación en el vientre de corriente</t>
  </si>
  <si>
    <t>Xv (fem)</t>
  </si>
  <si>
    <t>Reactancia en el vientre de corriente</t>
  </si>
  <si>
    <t>Impedancia característica (Zo)</t>
  </si>
  <si>
    <t>Reactancia de entrada en la base</t>
  </si>
  <si>
    <t>Resistencia de entrada en la base</t>
  </si>
  <si>
    <t>Resistencia entrada en la base</t>
  </si>
  <si>
    <t>Reactancia entrada en la base</t>
  </si>
  <si>
    <t>Resistencia en el vientre de corriente</t>
  </si>
  <si>
    <t>Ganancia directiva</t>
  </si>
  <si>
    <t>Fraccion de longitud de onda (H/λ)</t>
  </si>
  <si>
    <t>Coeficiente de fase (β)</t>
  </si>
  <si>
    <t>Longitud angular (βH)</t>
  </si>
  <si>
    <t>Atenuación radiador (2αH)</t>
  </si>
  <si>
    <t>m</t>
  </si>
  <si>
    <t>λ</t>
  </si>
  <si>
    <t>Rad/m</t>
  </si>
  <si>
    <t>Rad</t>
  </si>
  <si>
    <t>Ω</t>
  </si>
  <si>
    <t>Neper</t>
  </si>
  <si>
    <t xml:space="preserve">Area efectiva </t>
  </si>
  <si>
    <t>Grad</t>
  </si>
  <si>
    <t>Fo</t>
  </si>
  <si>
    <t>Máximo Fo</t>
  </si>
  <si>
    <t>ENTRADA DE DATOS</t>
  </si>
  <si>
    <t>Radio equivalente de la torre</t>
  </si>
  <si>
    <t>Seccion circular</t>
  </si>
  <si>
    <t>Seccion poligonal</t>
  </si>
  <si>
    <t>RESULTADOS</t>
  </si>
  <si>
    <t>Radio equiv. poligonal (mts)</t>
  </si>
  <si>
    <t>CALCULOS INTERMEDIOS</t>
  </si>
  <si>
    <t>Longitud del lado (mts)</t>
  </si>
  <si>
    <t>RADIO EQUIVALENTE (MTS)</t>
  </si>
  <si>
    <t>PARAMETROS PRINCIPALES DE UN MONOPOLO</t>
  </si>
  <si>
    <t>Valor absoluto (respecto a isotropico)</t>
  </si>
  <si>
    <t xml:space="preserve">Valor en dB respecto a isotrópico </t>
  </si>
  <si>
    <t>dBi</t>
  </si>
  <si>
    <t>Valor en dB respecto a patrón dipolo</t>
  </si>
  <si>
    <t>Valor en dB respecto a patrón monopolo</t>
  </si>
  <si>
    <t>dBd</t>
  </si>
  <si>
    <t>dB</t>
  </si>
  <si>
    <r>
      <t>m</t>
    </r>
    <r>
      <rPr>
        <vertAlign val="superscript"/>
        <sz val="11"/>
        <color rgb="FFFF0000"/>
        <rFont val="Arial"/>
        <family val="2"/>
      </rPr>
      <t>2</t>
    </r>
  </si>
  <si>
    <t>Resistencia de Radiación por el método del vector de Pointing o de la FEM inducida (opc 1)</t>
  </si>
  <si>
    <t>Resistencia de Radiación como Linea de Transmisión abierta      (opc 2)</t>
  </si>
  <si>
    <t>Ci</t>
  </si>
  <si>
    <t>Si</t>
  </si>
  <si>
    <t>Jordan(611,614)</t>
  </si>
  <si>
    <t>Kl (b)</t>
  </si>
  <si>
    <t>2Kl (2b)</t>
  </si>
  <si>
    <t>b(kl)</t>
  </si>
  <si>
    <t>2b (2kl)</t>
  </si>
  <si>
    <t>Rrv</t>
  </si>
  <si>
    <t>T</t>
  </si>
  <si>
    <r>
      <t>Longitud fisica (H</t>
    </r>
    <r>
      <rPr>
        <vertAlign val="subscript"/>
        <sz val="11"/>
        <rFont val="Arial"/>
        <family val="2"/>
      </rPr>
      <t>0</t>
    </r>
    <r>
      <rPr>
        <sz val="11"/>
        <rFont val="Arial"/>
        <family val="2"/>
      </rPr>
      <t>)</t>
    </r>
  </si>
  <si>
    <t>CiT</t>
  </si>
  <si>
    <t>CinT</t>
  </si>
  <si>
    <t>Cin(S1)</t>
  </si>
  <si>
    <t>Xe</t>
  </si>
  <si>
    <t>Rre</t>
  </si>
  <si>
    <t>Balanis(410)</t>
  </si>
  <si>
    <t>Re</t>
  </si>
  <si>
    <t>Xv</t>
  </si>
  <si>
    <t xml:space="preserve">Cambio variable de </t>
  </si>
  <si>
    <t>Comparacion Balanis vs Jordan</t>
  </si>
  <si>
    <r>
      <t>H/</t>
    </r>
    <r>
      <rPr>
        <sz val="11"/>
        <rFont val="Calibri"/>
        <family val="2"/>
      </rPr>
      <t>λ</t>
    </r>
  </si>
  <si>
    <t>Schelkunoff (654)</t>
  </si>
  <si>
    <t>Ra</t>
  </si>
  <si>
    <t>Xa</t>
  </si>
  <si>
    <t>Capacidad de la torre</t>
  </si>
  <si>
    <t>Capacidad del sombrero</t>
  </si>
  <si>
    <t>Capacidad total</t>
  </si>
  <si>
    <t>Altura efectiva</t>
  </si>
  <si>
    <t>pF</t>
  </si>
  <si>
    <t>Resistencia de radiación en la base</t>
  </si>
  <si>
    <t>Resistencia del GP (estimada)</t>
  </si>
  <si>
    <t>Resistencia total en la base</t>
  </si>
  <si>
    <t>Eficiencia</t>
  </si>
  <si>
    <t>%</t>
  </si>
  <si>
    <t>Q de la antena</t>
  </si>
  <si>
    <t>Ancho de banda</t>
  </si>
  <si>
    <t>KHz</t>
  </si>
  <si>
    <t>Potencia Radiada</t>
  </si>
  <si>
    <t>PIRE establecido dividido por la Ganancia iso</t>
  </si>
  <si>
    <t>W</t>
  </si>
  <si>
    <t>Resistencia en la base</t>
  </si>
  <si>
    <t>Reactancia en la base</t>
  </si>
  <si>
    <t>Según MManaGal (Tierra perfecta)</t>
  </si>
  <si>
    <t>Potencia de entrada</t>
  </si>
  <si>
    <t>PIRE establecida</t>
  </si>
  <si>
    <t>PIRE</t>
  </si>
  <si>
    <t xml:space="preserve">Potencia entregada en la entrada de la antena </t>
  </si>
  <si>
    <t>Resultados  obtenidos mediante  las capacidades (Nautel)</t>
  </si>
  <si>
    <t>Resistencia de la bobina de ajuste (Q 300)</t>
  </si>
  <si>
    <t>Xp</t>
  </si>
  <si>
    <t>Rp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</si>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</sst>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00"/>
    <numFmt numFmtId="165" formatCode="0.0000"/>
  </numFmts>
  <fonts count="21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11"/>
      <color rgb="FF0070C0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1"/>
      <color theme="2" tint="-0.249977111117893"/>
      <name val="Arial"/>
      <family val="2"/>
    </font>
    <font>
      <b/>
      <sz val="11"/>
      <color rgb="FFFFFF00"/>
      <name val="Arial"/>
      <family val="2"/>
    </font>
    <font>
      <sz val="11"/>
      <color theme="2" tint="-0.499984740745262"/>
      <name val="Arial"/>
      <family val="2"/>
    </font>
    <font>
      <b/>
      <sz val="11"/>
      <color theme="2" tint="-0.249977111117893"/>
      <name val="Arial"/>
      <family val="2"/>
    </font>
    <font>
      <b/>
      <sz val="14"/>
      <color theme="0"/>
      <name val="Arial"/>
      <family val="2"/>
    </font>
    <font>
      <vertAlign val="superscript"/>
      <sz val="11"/>
      <color rgb="FFFF0000"/>
      <name val="Arial"/>
      <family val="2"/>
    </font>
    <font>
      <sz val="14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vertAlign val="subscript"/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3"/>
      <name val="Calibri"/>
      <family val="2"/>
      <scheme val="minor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0A907"/>
        <bgColor indexed="64"/>
      </patternFill>
    </fill>
    <fill>
      <patternFill patternType="solid">
        <fgColor theme="7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6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211">
    <xf numFmtId="0" fontId="0" fillId="0" borderId="0" xfId="0"/>
    <xf numFmtId="0" fontId="1" fillId="0" borderId="0" xfId="0" applyFont="1"/>
    <xf numFmtId="0" fontId="5" fillId="0" borderId="0" xfId="0" applyFont="1"/>
    <xf numFmtId="0" fontId="3" fillId="0" borderId="17" xfId="0" applyFont="1" applyBorder="1"/>
    <xf numFmtId="0" fontId="5" fillId="0" borderId="0" xfId="0" applyFont="1" applyAlignment="1">
      <alignment horizontal="right"/>
    </xf>
    <xf numFmtId="2" fontId="5" fillId="0" borderId="0" xfId="0" applyNumberFormat="1" applyFont="1"/>
    <xf numFmtId="0" fontId="5" fillId="0" borderId="0" xfId="0" applyFont="1" applyProtection="1">
      <protection hidden="1"/>
    </xf>
    <xf numFmtId="0" fontId="1" fillId="0" borderId="0" xfId="0" applyFont="1" applyAlignment="1">
      <alignment horizontal="right"/>
    </xf>
    <xf numFmtId="0" fontId="3" fillId="3" borderId="7" xfId="0" applyFont="1" applyFill="1" applyBorder="1" applyAlignment="1" applyProtection="1">
      <alignment horizontal="right" vertical="center" shrinkToFit="1"/>
      <protection locked="0" hidden="1"/>
    </xf>
    <xf numFmtId="2" fontId="6" fillId="0" borderId="14" xfId="0" applyNumberFormat="1" applyFont="1" applyBorder="1" applyProtection="1">
      <protection locked="0" hidden="1"/>
    </xf>
    <xf numFmtId="0" fontId="1" fillId="0" borderId="0" xfId="0" applyFont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2" fillId="0" borderId="2" xfId="0" applyFont="1" applyBorder="1" applyAlignment="1" applyProtection="1">
      <alignment horizontal="right"/>
      <protection locked="0" hidden="1"/>
    </xf>
    <xf numFmtId="2" fontId="2" fillId="0" borderId="2" xfId="0" applyNumberFormat="1" applyFont="1" applyBorder="1" applyProtection="1">
      <protection locked="0" hidden="1"/>
    </xf>
    <xf numFmtId="0" fontId="5" fillId="0" borderId="24" xfId="0" applyFont="1" applyBorder="1"/>
    <xf numFmtId="1" fontId="3" fillId="0" borderId="28" xfId="0" applyNumberFormat="1" applyFont="1" applyBorder="1" applyProtection="1">
      <protection locked="0" hidden="1"/>
    </xf>
    <xf numFmtId="0" fontId="8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right"/>
      <protection locked="0" hidden="1"/>
    </xf>
    <xf numFmtId="164" fontId="3" fillId="0" borderId="29" xfId="0" applyNumberFormat="1" applyFont="1" applyBorder="1" applyProtection="1">
      <protection locked="0" hidden="1"/>
    </xf>
    <xf numFmtId="0" fontId="6" fillId="3" borderId="19" xfId="0" applyFont="1" applyFill="1" applyBorder="1" applyAlignment="1" applyProtection="1">
      <alignment horizontal="right"/>
      <protection locked="0" hidden="1"/>
    </xf>
    <xf numFmtId="0" fontId="3" fillId="3" borderId="32" xfId="0" applyFont="1" applyFill="1" applyBorder="1" applyAlignment="1" applyProtection="1">
      <alignment horizontal="right"/>
      <protection locked="0" hidden="1"/>
    </xf>
    <xf numFmtId="0" fontId="6" fillId="3" borderId="4" xfId="0" applyFont="1" applyFill="1" applyBorder="1" applyAlignment="1" applyProtection="1">
      <alignment horizontal="right"/>
      <protection locked="0" hidden="1"/>
    </xf>
    <xf numFmtId="0" fontId="6" fillId="0" borderId="10" xfId="0" applyFont="1" applyBorder="1"/>
    <xf numFmtId="0" fontId="6" fillId="0" borderId="11" xfId="0" applyFont="1" applyBorder="1"/>
    <xf numFmtId="0" fontId="6" fillId="0" borderId="11" xfId="0" applyFont="1" applyBorder="1" applyProtection="1">
      <protection hidden="1"/>
    </xf>
    <xf numFmtId="0" fontId="6" fillId="0" borderId="13" xfId="0" applyFont="1" applyBorder="1"/>
    <xf numFmtId="0" fontId="8" fillId="0" borderId="23" xfId="0" applyFont="1" applyBorder="1" applyAlignment="1">
      <alignment vertical="center"/>
    </xf>
    <xf numFmtId="0" fontId="6" fillId="0" borderId="6" xfId="0" applyFont="1" applyBorder="1" applyAlignment="1">
      <alignment horizontal="right"/>
    </xf>
    <xf numFmtId="2" fontId="6" fillId="0" borderId="6" xfId="0" applyNumberFormat="1" applyFont="1" applyBorder="1"/>
    <xf numFmtId="0" fontId="6" fillId="0" borderId="6" xfId="0" applyFont="1" applyBorder="1"/>
    <xf numFmtId="2" fontId="6" fillId="0" borderId="16" xfId="0" applyNumberFormat="1" applyFont="1" applyBorder="1"/>
    <xf numFmtId="0" fontId="6" fillId="0" borderId="8" xfId="0" applyFont="1" applyBorder="1"/>
    <xf numFmtId="0" fontId="6" fillId="0" borderId="0" xfId="0" applyFont="1" applyProtection="1">
      <protection locked="0" hidden="1"/>
    </xf>
    <xf numFmtId="2" fontId="4" fillId="0" borderId="9" xfId="0" applyNumberFormat="1" applyFont="1" applyBorder="1"/>
    <xf numFmtId="0" fontId="4" fillId="0" borderId="10" xfId="0" applyFont="1" applyBorder="1"/>
    <xf numFmtId="2" fontId="4" fillId="0" borderId="5" xfId="0" applyNumberFormat="1" applyFont="1" applyBorder="1"/>
    <xf numFmtId="0" fontId="4" fillId="0" borderId="11" xfId="0" applyFont="1" applyBorder="1"/>
    <xf numFmtId="2" fontId="4" fillId="0" borderId="12" xfId="0" applyNumberFormat="1" applyFont="1" applyBorder="1"/>
    <xf numFmtId="0" fontId="4" fillId="0" borderId="13" xfId="0" applyFont="1" applyBorder="1"/>
    <xf numFmtId="0" fontId="4" fillId="0" borderId="39" xfId="0" applyFont="1" applyBorder="1"/>
    <xf numFmtId="0" fontId="12" fillId="0" borderId="0" xfId="0" applyFont="1"/>
    <xf numFmtId="0" fontId="6" fillId="0" borderId="2" xfId="0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3" borderId="23" xfId="0" applyFont="1" applyFill="1" applyBorder="1" applyAlignment="1">
      <alignment horizontal="right" vertical="center" wrapText="1"/>
    </xf>
    <xf numFmtId="0" fontId="1" fillId="3" borderId="22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 applyProtection="1">
      <alignment horizontal="right" vertical="center" shrinkToFit="1"/>
      <protection locked="0" hidden="1"/>
    </xf>
    <xf numFmtId="2" fontId="3" fillId="0" borderId="22" xfId="0" applyNumberFormat="1" applyFont="1" applyBorder="1" applyProtection="1">
      <protection locked="0" hidden="1"/>
    </xf>
    <xf numFmtId="165" fontId="3" fillId="0" borderId="8" xfId="0" applyNumberFormat="1" applyFont="1" applyBorder="1" applyProtection="1">
      <protection locked="0" hidden="1"/>
    </xf>
    <xf numFmtId="165" fontId="2" fillId="0" borderId="8" xfId="0" applyNumberFormat="1" applyFont="1" applyBorder="1" applyProtection="1">
      <protection locked="0" hidden="1"/>
    </xf>
    <xf numFmtId="0" fontId="5" fillId="7" borderId="0" xfId="0" applyFont="1" applyFill="1" applyAlignment="1">
      <alignment horizontal="center"/>
    </xf>
    <xf numFmtId="0" fontId="1" fillId="0" borderId="12" xfId="0" applyFont="1" applyBorder="1" applyAlignment="1">
      <alignment horizontal="center"/>
    </xf>
    <xf numFmtId="0" fontId="5" fillId="0" borderId="5" xfId="0" applyFont="1" applyBorder="1"/>
    <xf numFmtId="2" fontId="1" fillId="0" borderId="40" xfId="0" applyNumberFormat="1" applyFont="1" applyBorder="1"/>
    <xf numFmtId="2" fontId="1" fillId="0" borderId="38" xfId="0" applyNumberFormat="1" applyFont="1" applyBorder="1"/>
    <xf numFmtId="2" fontId="1" fillId="0" borderId="38" xfId="0" applyNumberFormat="1" applyFont="1" applyBorder="1" applyProtection="1">
      <protection hidden="1"/>
    </xf>
    <xf numFmtId="2" fontId="1" fillId="0" borderId="41" xfId="0" applyNumberFormat="1" applyFont="1" applyBorder="1"/>
    <xf numFmtId="0" fontId="5" fillId="0" borderId="50" xfId="0" applyFont="1" applyBorder="1" applyAlignment="1">
      <alignment horizontal="center"/>
    </xf>
    <xf numFmtId="0" fontId="17" fillId="0" borderId="15" xfId="0" applyFont="1" applyBorder="1"/>
    <xf numFmtId="0" fontId="18" fillId="0" borderId="8" xfId="0" applyFont="1" applyBorder="1"/>
    <xf numFmtId="0" fontId="5" fillId="0" borderId="55" xfId="0" applyFont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2" fontId="5" fillId="0" borderId="49" xfId="0" applyNumberFormat="1" applyFont="1" applyBorder="1" applyAlignment="1">
      <alignment horizontal="center"/>
    </xf>
    <xf numFmtId="2" fontId="4" fillId="8" borderId="11" xfId="0" applyNumberFormat="1" applyFont="1" applyFill="1" applyBorder="1" applyAlignment="1">
      <alignment horizontal="center"/>
    </xf>
    <xf numFmtId="0" fontId="5" fillId="0" borderId="49" xfId="0" applyFont="1" applyBorder="1" applyAlignment="1">
      <alignment horizontal="center"/>
    </xf>
    <xf numFmtId="2" fontId="2" fillId="8" borderId="11" xfId="0" applyNumberFormat="1" applyFont="1" applyFill="1" applyBorder="1" applyAlignment="1">
      <alignment horizontal="center"/>
    </xf>
    <xf numFmtId="2" fontId="5" fillId="0" borderId="56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5" fillId="0" borderId="56" xfId="0" applyFont="1" applyBorder="1"/>
    <xf numFmtId="0" fontId="1" fillId="0" borderId="57" xfId="0" applyFont="1" applyBorder="1" applyAlignment="1">
      <alignment horizontal="center"/>
    </xf>
    <xf numFmtId="2" fontId="4" fillId="2" borderId="31" xfId="0" applyNumberFormat="1" applyFont="1" applyFill="1" applyBorder="1" applyAlignment="1">
      <alignment horizontal="center"/>
    </xf>
    <xf numFmtId="2" fontId="5" fillId="2" borderId="31" xfId="0" applyNumberFormat="1" applyFont="1" applyFill="1" applyBorder="1" applyAlignment="1">
      <alignment horizontal="center"/>
    </xf>
    <xf numFmtId="0" fontId="5" fillId="2" borderId="31" xfId="0" applyFont="1" applyFill="1" applyBorder="1" applyAlignment="1">
      <alignment horizontal="center"/>
    </xf>
    <xf numFmtId="2" fontId="5" fillId="2" borderId="36" xfId="0" applyNumberFormat="1" applyFont="1" applyFill="1" applyBorder="1"/>
    <xf numFmtId="165" fontId="6" fillId="0" borderId="21" xfId="0" applyNumberFormat="1" applyFont="1" applyBorder="1" applyProtection="1">
      <protection locked="0" hidden="1"/>
    </xf>
    <xf numFmtId="2" fontId="1" fillId="0" borderId="5" xfId="0" applyNumberFormat="1" applyFont="1" applyBorder="1"/>
    <xf numFmtId="0" fontId="1" fillId="0" borderId="11" xfId="0" applyFont="1" applyBorder="1"/>
    <xf numFmtId="2" fontId="4" fillId="0" borderId="14" xfId="0" applyNumberFormat="1" applyFont="1" applyBorder="1"/>
    <xf numFmtId="0" fontId="4" fillId="0" borderId="58" xfId="0" applyFont="1" applyBorder="1"/>
    <xf numFmtId="0" fontId="5" fillId="0" borderId="0" xfId="0" applyFont="1" applyAlignment="1">
      <alignment horizontal="left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2" fontId="1" fillId="0" borderId="50" xfId="0" applyNumberFormat="1" applyFont="1" applyBorder="1"/>
    <xf numFmtId="0" fontId="1" fillId="0" borderId="59" xfId="0" applyFont="1" applyBorder="1"/>
    <xf numFmtId="0" fontId="1" fillId="0" borderId="13" xfId="0" applyFont="1" applyBorder="1"/>
    <xf numFmtId="0" fontId="20" fillId="0" borderId="13" xfId="0" applyFont="1" applyBorder="1"/>
    <xf numFmtId="0" fontId="5" fillId="0" borderId="35" xfId="0" applyFont="1" applyBorder="1"/>
    <xf numFmtId="0" fontId="5" fillId="0" borderId="53" xfId="0" applyFont="1" applyBorder="1"/>
    <xf numFmtId="0" fontId="5" fillId="0" borderId="60" xfId="0" applyFont="1" applyBorder="1" applyAlignment="1">
      <alignment horizontal="center"/>
    </xf>
    <xf numFmtId="0" fontId="3" fillId="0" borderId="33" xfId="0" applyFont="1" applyBorder="1"/>
    <xf numFmtId="0" fontId="10" fillId="6" borderId="0" xfId="0" applyFont="1" applyFill="1" applyAlignment="1">
      <alignment horizontal="center" vertical="center"/>
    </xf>
    <xf numFmtId="0" fontId="6" fillId="0" borderId="0" xfId="0" applyFont="1"/>
    <xf numFmtId="0" fontId="6" fillId="0" borderId="0" xfId="0" applyFont="1" applyProtection="1">
      <protection hidden="1"/>
    </xf>
    <xf numFmtId="0" fontId="4" fillId="0" borderId="0" xfId="0" applyFont="1"/>
    <xf numFmtId="0" fontId="20" fillId="0" borderId="0" xfId="0" applyFont="1"/>
    <xf numFmtId="0" fontId="5" fillId="0" borderId="0" xfId="0" applyFont="1" applyAlignment="1">
      <alignment horizontal="center"/>
    </xf>
    <xf numFmtId="165" fontId="4" fillId="0" borderId="37" xfId="0" applyNumberFormat="1" applyFont="1" applyBorder="1"/>
    <xf numFmtId="165" fontId="4" fillId="0" borderId="9" xfId="0" applyNumberFormat="1" applyFont="1" applyBorder="1"/>
    <xf numFmtId="165" fontId="4" fillId="0" borderId="12" xfId="0" applyNumberFormat="1" applyFont="1" applyBorder="1"/>
    <xf numFmtId="165" fontId="4" fillId="0" borderId="5" xfId="0" applyNumberFormat="1" applyFont="1" applyBorder="1"/>
    <xf numFmtId="0" fontId="5" fillId="0" borderId="0" xfId="0" applyFont="1" applyAlignment="1">
      <alignment horizontal="left"/>
    </xf>
    <xf numFmtId="0" fontId="5" fillId="0" borderId="38" xfId="0" applyFont="1" applyBorder="1" applyAlignment="1">
      <alignment horizontal="right"/>
    </xf>
    <xf numFmtId="0" fontId="5" fillId="0" borderId="26" xfId="0" applyFont="1" applyBorder="1" applyAlignment="1">
      <alignment horizontal="right"/>
    </xf>
    <xf numFmtId="0" fontId="5" fillId="0" borderId="41" xfId="0" applyFont="1" applyBorder="1" applyAlignment="1">
      <alignment horizontal="right"/>
    </xf>
    <xf numFmtId="0" fontId="5" fillId="0" borderId="35" xfId="0" applyFont="1" applyBorder="1" applyAlignment="1">
      <alignment horizontal="right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right"/>
    </xf>
    <xf numFmtId="0" fontId="5" fillId="0" borderId="48" xfId="0" applyFont="1" applyBorder="1" applyAlignment="1">
      <alignment horizontal="right"/>
    </xf>
    <xf numFmtId="0" fontId="1" fillId="0" borderId="43" xfId="0" applyFont="1" applyBorder="1" applyAlignment="1">
      <alignment horizontal="right"/>
    </xf>
    <xf numFmtId="0" fontId="1" fillId="0" borderId="35" xfId="0" applyFont="1" applyBorder="1" applyAlignment="1">
      <alignment horizontal="right"/>
    </xf>
    <xf numFmtId="0" fontId="5" fillId="0" borderId="23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1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 applyProtection="1">
      <alignment horizontal="right"/>
      <protection locked="0" hidden="1"/>
    </xf>
    <xf numFmtId="0" fontId="2" fillId="3" borderId="16" xfId="0" applyFont="1" applyFill="1" applyBorder="1" applyAlignment="1" applyProtection="1">
      <alignment horizontal="right"/>
      <protection locked="0" hidden="1"/>
    </xf>
    <xf numFmtId="0" fontId="1" fillId="0" borderId="27" xfId="0" applyFont="1" applyBorder="1" applyAlignment="1" applyProtection="1">
      <alignment horizontal="right"/>
      <protection hidden="1"/>
    </xf>
    <xf numFmtId="0" fontId="1" fillId="0" borderId="26" xfId="0" applyFont="1" applyBorder="1" applyAlignment="1" applyProtection="1">
      <alignment horizontal="right"/>
      <protection hidden="1"/>
    </xf>
    <xf numFmtId="2" fontId="5" fillId="0" borderId="52" xfId="0" applyNumberFormat="1" applyFont="1" applyBorder="1" applyAlignment="1">
      <alignment horizontal="center" vertical="center"/>
    </xf>
    <xf numFmtId="2" fontId="5" fillId="0" borderId="51" xfId="0" applyNumberFormat="1" applyFont="1" applyBorder="1" applyAlignment="1">
      <alignment horizontal="center" vertical="center"/>
    </xf>
    <xf numFmtId="2" fontId="5" fillId="0" borderId="53" xfId="0" applyNumberFormat="1" applyFont="1" applyBorder="1" applyAlignment="1">
      <alignment horizontal="center" vertical="center"/>
    </xf>
    <xf numFmtId="2" fontId="5" fillId="0" borderId="54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45" xfId="0" applyNumberFormat="1" applyFont="1" applyBorder="1" applyAlignment="1">
      <alignment horizontal="center" vertical="center"/>
    </xf>
    <xf numFmtId="2" fontId="5" fillId="0" borderId="47" xfId="0" applyNumberFormat="1" applyFont="1" applyBorder="1" applyAlignment="1">
      <alignment horizontal="center" vertical="center"/>
    </xf>
    <xf numFmtId="2" fontId="5" fillId="0" borderId="30" xfId="0" applyNumberFormat="1" applyFont="1" applyBorder="1" applyAlignment="1">
      <alignment horizontal="center" vertical="center"/>
    </xf>
    <xf numFmtId="2" fontId="5" fillId="0" borderId="48" xfId="0" applyNumberFormat="1" applyFont="1" applyBorder="1" applyAlignment="1">
      <alignment horizontal="center" vertical="center"/>
    </xf>
    <xf numFmtId="44" fontId="5" fillId="0" borderId="1" xfId="1" applyFont="1" applyBorder="1" applyAlignment="1">
      <alignment horizontal="center"/>
    </xf>
    <xf numFmtId="44" fontId="5" fillId="0" borderId="3" xfId="1" applyFont="1" applyBorder="1" applyAlignment="1">
      <alignment horizontal="center"/>
    </xf>
    <xf numFmtId="0" fontId="10" fillId="6" borderId="23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22" xfId="0" applyFont="1" applyFill="1" applyBorder="1" applyAlignment="1">
      <alignment horizontal="center" vertical="center"/>
    </xf>
    <xf numFmtId="0" fontId="10" fillId="6" borderId="25" xfId="0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10" fillId="6" borderId="2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9" fillId="0" borderId="2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0" borderId="42" xfId="0" applyFont="1" applyBorder="1" applyAlignment="1">
      <alignment horizontal="right"/>
    </xf>
    <xf numFmtId="0" fontId="1" fillId="0" borderId="33" xfId="0" applyFont="1" applyBorder="1" applyAlignment="1">
      <alignment horizontal="right"/>
    </xf>
    <xf numFmtId="0" fontId="1" fillId="0" borderId="27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1" fillId="3" borderId="2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7" fillId="5" borderId="2" xfId="0" applyFont="1" applyFill="1" applyBorder="1" applyAlignment="1">
      <alignment horizontal="right"/>
    </xf>
    <xf numFmtId="0" fontId="7" fillId="5" borderId="3" xfId="0" applyFont="1" applyFill="1" applyBorder="1" applyAlignment="1">
      <alignment horizontal="right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34" xfId="0" applyFont="1" applyBorder="1" applyAlignment="1">
      <alignment horizontal="right"/>
    </xf>
    <xf numFmtId="0" fontId="5" fillId="0" borderId="33" xfId="0" applyFont="1" applyBorder="1" applyAlignment="1">
      <alignment horizontal="right"/>
    </xf>
    <xf numFmtId="0" fontId="5" fillId="0" borderId="31" xfId="0" applyFont="1" applyBorder="1" applyAlignment="1">
      <alignment horizontal="right"/>
    </xf>
    <xf numFmtId="0" fontId="5" fillId="0" borderId="36" xfId="0" applyFont="1" applyBorder="1" applyAlignment="1">
      <alignment horizontal="right"/>
    </xf>
    <xf numFmtId="0" fontId="5" fillId="0" borderId="4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47" xfId="0" applyFont="1" applyBorder="1" applyAlignment="1">
      <alignment horizontal="right"/>
    </xf>
  </cellXfs>
  <cellStyles count="3">
    <cellStyle name="Encabezado 4" xfId="2" builtinId="19" hidden="1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60A907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403860</xdr:colOff>
      <xdr:row>7</xdr:row>
      <xdr:rowOff>57150</xdr:rowOff>
    </xdr:from>
    <xdr:ext cx="1219200" cy="47493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1 CuadroTexto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 txBox="1"/>
          </xdr:nvSpPr>
          <xdr:spPr>
            <a:xfrm>
              <a:off x="10530840" y="1162050"/>
              <a:ext cx="1219200" cy="4749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 xmlns:m="http://schemas.openxmlformats.org/officeDocument/2006/math">
                  <m:f>
                    <m:fPr>
                      <m:ctrlPr>
                        <a:rPr lang="es-ES" sz="1600" b="0" i="1">
                          <a:latin typeface="Cambria Math" panose="02040503050406030204" pitchFamily="18" charset="0"/>
                        </a:rPr>
                      </m:ctrlPr>
                    </m:fPr>
                    <m:num>
                      <m:sSup>
                        <m:sSupPr>
                          <m:ctrlPr>
                            <a:rPr lang="es-ES" sz="16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es-ES" sz="1600" b="0" i="1">
                              <a:latin typeface="Cambria Math"/>
                            </a:rPr>
                            <m:t>2</m:t>
                          </m:r>
                          <m:r>
                            <a:rPr lang="es-ES" sz="1600" b="0" i="1">
                              <a:latin typeface="Cambria Math"/>
                              <a:ea typeface="Cambria Math"/>
                            </a:rPr>
                            <m:t>𝛽</m:t>
                          </m:r>
                          <m:r>
                            <a:rPr lang="es-ES" sz="1600" b="0" i="1">
                              <a:latin typeface="Cambria Math"/>
                              <a:ea typeface="Cambria Math"/>
                            </a:rPr>
                            <m:t>𝑎</m:t>
                          </m:r>
                        </m:e>
                        <m:sup>
                          <m:r>
                            <a:rPr lang="es-ES" sz="1600" b="0" i="1">
                              <a:latin typeface="Cambria Math"/>
                            </a:rPr>
                            <m:t>2</m:t>
                          </m:r>
                        </m:sup>
                      </m:sSup>
                    </m:num>
                    <m:den>
                      <m:r>
                        <a:rPr lang="es-ES" sz="1600" b="0" i="1">
                          <a:latin typeface="Cambria Math"/>
                        </a:rPr>
                        <m:t>2</m:t>
                      </m:r>
                      <m:r>
                        <a:rPr lang="es-ES" sz="1600" b="0" i="1">
                          <a:latin typeface="Cambria Math"/>
                        </a:rPr>
                        <m:t>𝐻</m:t>
                      </m:r>
                    </m:den>
                  </m:f>
                  <m:r>
                    <a:rPr lang="es-ES" sz="1600" b="0" i="0">
                      <a:latin typeface="Cambria Math"/>
                    </a:rPr>
                    <m:t>  </m:t>
                  </m:r>
                </m:oMath>
              </a14:m>
              <a:r>
                <a:rPr lang="es-ES" sz="1100"/>
                <a:t> </a:t>
              </a:r>
              <a:r>
                <a:rPr lang="es-ES" sz="1400"/>
                <a:t>a  "T"</a:t>
              </a:r>
            </a:p>
          </xdr:txBody>
        </xdr:sp>
      </mc:Choice>
      <mc:Fallback xmlns="">
        <xdr:sp macro="" textlink="">
          <xdr:nvSpPr>
            <xdr:cNvPr id="2" name="1 CuadroTexto"/>
            <xdr:cNvSpPr txBox="1"/>
          </xdr:nvSpPr>
          <xdr:spPr>
            <a:xfrm>
              <a:off x="10530840" y="1162050"/>
              <a:ext cx="1219200" cy="4749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s-ES" sz="1600" i="0">
                  <a:latin typeface="Cambria Math"/>
                </a:rPr>
                <a:t>〖</a:t>
              </a:r>
              <a:r>
                <a:rPr lang="es-ES" sz="1600" b="0" i="0">
                  <a:latin typeface="Cambria Math"/>
                </a:rPr>
                <a:t>2</a:t>
              </a:r>
              <a:r>
                <a:rPr lang="es-ES" sz="1600" b="0" i="0">
                  <a:latin typeface="Cambria Math"/>
                  <a:ea typeface="Cambria Math"/>
                </a:rPr>
                <a:t>𝛽𝑎〗^</a:t>
              </a:r>
              <a:r>
                <a:rPr lang="es-ES" sz="1600" b="0" i="0">
                  <a:latin typeface="Cambria Math"/>
                </a:rPr>
                <a:t>2/2𝐻   </a:t>
              </a:r>
              <a:r>
                <a:rPr lang="es-ES" sz="1100"/>
                <a:t> </a:t>
              </a:r>
              <a:r>
                <a:rPr lang="es-ES" sz="1400"/>
                <a:t>a  "T"</a:t>
              </a: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0"/>
  <sheetViews>
    <sheetView showGridLines="0" tabSelected="1" topLeftCell="A19" zoomScale="80" zoomScaleNormal="80" workbookViewId="0">
      <selection activeCell="G15" sqref="G15"/>
    </sheetView>
  </sheetViews>
  <sheetFormatPr baseColWidth="10" defaultColWidth="11.54296875" defaultRowHeight="14" x14ac:dyDescent="0.3"/>
  <cols>
    <col min="1" max="2" width="11.54296875" style="2"/>
    <col min="3" max="3" width="12" style="2" customWidth="1"/>
    <col min="4" max="4" width="15.54296875" style="2" customWidth="1"/>
    <col min="5" max="5" width="11.1796875" style="2" customWidth="1"/>
    <col min="6" max="6" width="29" style="2" customWidth="1"/>
    <col min="7" max="7" width="14.81640625" style="2" customWidth="1"/>
    <col min="8" max="9" width="6.6328125" style="2" customWidth="1"/>
    <col min="10" max="10" width="11.81640625" style="2" customWidth="1"/>
    <col min="11" max="11" width="16.90625" style="2" customWidth="1"/>
    <col min="12" max="12" width="15.1796875" style="2" customWidth="1"/>
    <col min="13" max="14" width="11.81640625" style="2" customWidth="1"/>
    <col min="15" max="15" width="14.90625" style="2" customWidth="1"/>
    <col min="16" max="16" width="25.81640625" style="2" customWidth="1"/>
    <col min="17" max="18" width="11.81640625" style="2" customWidth="1"/>
    <col min="19" max="19" width="15.54296875" style="2" customWidth="1"/>
    <col min="20" max="20" width="11.81640625" style="7" customWidth="1"/>
    <col min="21" max="21" width="11.81640625" style="2" customWidth="1"/>
    <col min="22" max="23" width="11.54296875" style="2" customWidth="1"/>
    <col min="24" max="16384" width="11.54296875" style="2"/>
  </cols>
  <sheetData>
    <row r="1" spans="1:27" ht="18" x14ac:dyDescent="0.3">
      <c r="A1" s="149" t="s">
        <v>40</v>
      </c>
      <c r="B1" s="150"/>
      <c r="C1" s="150"/>
      <c r="D1" s="150"/>
      <c r="E1" s="150"/>
      <c r="F1" s="150"/>
      <c r="G1" s="150"/>
      <c r="H1" s="151"/>
      <c r="I1" s="98"/>
    </row>
    <row r="2" spans="1:27" ht="1.25" customHeight="1" thickBot="1" x14ac:dyDescent="0.35">
      <c r="A2" s="152"/>
      <c r="B2" s="153"/>
      <c r="C2" s="153"/>
      <c r="D2" s="153"/>
      <c r="E2" s="153"/>
      <c r="F2" s="153"/>
      <c r="G2" s="153"/>
      <c r="H2" s="154"/>
      <c r="I2" s="98"/>
      <c r="T2" s="7" t="s">
        <v>28</v>
      </c>
      <c r="U2" s="2" t="s">
        <v>24</v>
      </c>
      <c r="V2" s="2" t="s">
        <v>29</v>
      </c>
      <c r="W2" s="2" t="s">
        <v>30</v>
      </c>
    </row>
    <row r="3" spans="1:27" ht="12.65" customHeight="1" thickBot="1" x14ac:dyDescent="0.35">
      <c r="T3" s="7">
        <v>0.28599999999999998</v>
      </c>
      <c r="U3" s="2">
        <f>T3*PI()/180</f>
        <v>4.9916416607037823E-3</v>
      </c>
      <c r="V3" s="2">
        <f>ABS((COS($G$21)-COS($G$21*COS(U3)))/SIN(U3))</f>
        <v>1.8450300484294155E-3</v>
      </c>
      <c r="W3" s="2">
        <f>MAX(V3:V100)</f>
        <v>0.39847494393690008</v>
      </c>
    </row>
    <row r="4" spans="1:27" ht="16.25" customHeight="1" thickBot="1" x14ac:dyDescent="0.35">
      <c r="A4" s="181" t="s">
        <v>31</v>
      </c>
      <c r="B4" s="182"/>
      <c r="C4" s="174" t="s">
        <v>3</v>
      </c>
      <c r="D4" s="174"/>
      <c r="E4" s="174"/>
      <c r="F4" s="175"/>
      <c r="G4" s="3">
        <v>6</v>
      </c>
      <c r="J4" s="1"/>
      <c r="K4" s="129" t="s">
        <v>56</v>
      </c>
      <c r="L4" s="130"/>
      <c r="M4" s="130"/>
      <c r="N4" s="131"/>
      <c r="O4" s="129" t="s">
        <v>57</v>
      </c>
      <c r="P4" s="130"/>
      <c r="Q4" s="130"/>
      <c r="R4" s="131"/>
      <c r="T4" s="7">
        <v>1</v>
      </c>
      <c r="U4" s="2">
        <f t="shared" ref="T4:U74" si="0">T4*PI()/180</f>
        <v>1.7453292519943295E-2</v>
      </c>
      <c r="V4" s="2">
        <f>ABS((COS($G$21)-COS($G$21*COS(U4)))/SIN(U4))</f>
        <v>6.4509900383075526E-3</v>
      </c>
    </row>
    <row r="5" spans="1:27" ht="14.4" customHeight="1" thickBot="1" x14ac:dyDescent="0.4">
      <c r="A5" s="183"/>
      <c r="B5" s="184"/>
      <c r="C5" s="12"/>
      <c r="D5" s="12"/>
      <c r="E5" s="12"/>
      <c r="F5" s="12"/>
      <c r="G5" s="11"/>
      <c r="J5" s="75" t="s">
        <v>71</v>
      </c>
      <c r="K5" s="73" t="s">
        <v>54</v>
      </c>
      <c r="L5" s="47" t="s">
        <v>52</v>
      </c>
      <c r="M5" s="47" t="s">
        <v>51</v>
      </c>
      <c r="N5" s="47" t="s">
        <v>63</v>
      </c>
      <c r="O5" s="47" t="s">
        <v>55</v>
      </c>
      <c r="P5" s="47" t="s">
        <v>52</v>
      </c>
      <c r="Q5" s="47" t="s">
        <v>51</v>
      </c>
      <c r="R5" s="48" t="s">
        <v>63</v>
      </c>
    </row>
    <row r="6" spans="1:27" ht="14.4" customHeight="1" thickBot="1" x14ac:dyDescent="0.35">
      <c r="A6" s="183"/>
      <c r="B6" s="184"/>
      <c r="C6" s="171" t="s">
        <v>32</v>
      </c>
      <c r="D6" s="132" t="s">
        <v>33</v>
      </c>
      <c r="E6" s="133"/>
      <c r="F6" s="8" t="s">
        <v>0</v>
      </c>
      <c r="G6" s="53">
        <v>1.7000000000000001E-2</v>
      </c>
      <c r="J6" s="76">
        <f>G19</f>
        <v>0.14728000000000002</v>
      </c>
      <c r="K6" s="74">
        <f>G21*2</f>
        <v>1.8507750640828189</v>
      </c>
      <c r="L6" s="56">
        <f>K6-K6^3/3/FACT(3)+K6^5/5/FACT(5)-K6^7/7/FACT(7)+K6^9/9/FACT(9)-K6^11/11/FACT(11)+K6^13/13/FACT(13)-K6^15/15/FACT(15)+K6^17/17/FACT(17)-K6^19/19/FACT(19)+K6^21/21/FACT(21)-K6^23/23/FACT(23)+K6^25/25/FACT(25)-K6^27/27/FACT(27)+K6^29/29/FACT(29)-K6^31/31/FACT(31)+K6^33/33/FACT(33)-K6^35/35/FACT(35)+K6^37/37/FACT(37)-K6^39/39/FACT(39)+K6^41/41/FACT(41)-K6^43/43/FACT(43)+K6^45/45/FACT(45)-K6^47/47/FACT(47)+K6^49/49/FACT(49)-K6^51/51/FACT(51)+K6^53/53/FACT(53)-K6^55/55/FACT(55)+K6^57/57/FACT(57)-K6^59/59/FACT(59)+K6^61/61/FACT(61)-K6^63/63/FACT(63)+K6^65/65/FACT(65)-K6^67/67/FACT(67)+K6^69/69/FACT(69)-K6^71/71/FACT(71)+K6^73/73/FACT(73)-K6^75/75/FACT(75)+K6^77/77/FACT(77)-K6^79/79/FACT(79)+K6^81/81/FACT(81)-K6^83/83/FACT(83)+K6^85/85/FACT(85)-K6^87/87/FACT(87)+K6^89/89/FACT(89)-K6^91/91/FACT(91)+K6^93/93/FACT(93)-K6^95/95/FACT(95)+K6^97/97/FACT(97)-K6^99/99/FACT(99)+K6^101/101/FACT(101)-K6^103/103/FACT(103)</f>
        <v>1.5327358818353063</v>
      </c>
      <c r="M6" s="56">
        <f>LN(K6)+0.577215665-N6</f>
        <v>0.44980913283582158</v>
      </c>
      <c r="N6" s="56">
        <f>K6^2/2/FACT(2)-K6^4/4/FACT(4)+K6^6/6/FACT(6)-K6^8/8/FACT(8)+K6^10/10/FACT(10)-K6^12/12/FACT(12)+K6^14/14/FACT(14)-K6^16/16/FACT(16)+K6^18/18/FACT(18)-K6^20/20/FACT(20)+K6^22/22/FACT(22)-K6^24/24/FACT(24)+K6^26/26/FACT(26)-K6^28/28/FACT(28)+K6^30/30/FACT(30)-K6^32/32/FACT(32)+K6^34/34/FACT(34)-K6^36/36/FACT(36)+K6^38/38/FACT(38)-K6^40/40/FACT(40)+K6^42/42/FACT(42)-K6^44/44/FACT(44)+K6^46/46/FACT(46)-K6^48/48/FACT(48)+K6^50/50/FACT(50)-K6^52/52/FACT(52)+K6^54/54/FACT(54)-K6^56/56/FACT(56)+K6^58/58/FACT(58)-K6^60/60/FACT(60)+K6^62/62/FACT(62)-K6^64/64/FACT(64)+K6^66/66/FACT(66)-K6^68/68/FACT(68)+K6^70/70/FACT(70)-K6^72/72/FACT(72)+K6^74/74/FACT(74)-K6^76/76/FACT(76)+K6^78/78/FACT(78)-K6^80/80/FACT(80)+K6^82/82/FACT(82)-K6^84/84/FACT(84)+K6^86/86/FACT(86)-K6^88/88/FACT(88)+K6^90/90/FACT(90)-K6^92/92/FACT(92)+K6^94/94/FACT(94)-K6^96/96/FACT(96)+K6^98/98/FACT(98)-K6^100/100/FACT(100)+K6^102/102/FACT(102)-K6^104/104/FACT(104)</f>
        <v>0.74301103707615446</v>
      </c>
      <c r="O6" s="77">
        <f>2*K6</f>
        <v>3.7015501281656378</v>
      </c>
      <c r="P6" s="56">
        <f>O6-O6^3/3/FACT(3)+O6^5/5/FACT(5)-O6^7/7/FACT(7)+O6^9/9/FACT(9)-O6^11/11/FACT(11)+O6^13/13/FACT(13)-O6^15/15/FACT(15)+O6^17/17/FACT(17)-O6^19/19/FACT(19)+O6^21/21/FACT(21)-O6^23/23/FACT(23)+O6^25/25/FACT(25)-O6^27/27/FACT(27)+O6^29/29/FACT(29)-O6^31/31/FACT(31)+O6^33/33/FACT(33)-O6^35/35/FACT(35)+O6^37/37/FACT(37)-O6^39/39/FACT(39)+O6^41/41/FACT(41)-O6^43/43/FACT(43)+O6^45/45/FACT(45)-O6^47/47/FACT(47)+O6^49/49/FACT(49)-O6^51/51/FACT(51)+O6^53/53/FACT(53)-O6^55/55/FACT(55)+O6^57/57/FACT(57)-O6^59/59/FACT(59)+O6^61/61/FACT(61)-O6^63/63/FACT(63)+O6^65/65/FACT(65)-O6^67/67/FACT(67)+O6^69/69/FACT(69)-O6^71/71/FACT(71)+O6^73/73/FACT(73)-O6^75/75/FACT(75)+O6^77/77/FACT(77)-O6^79/79/FACT(79)+O6^81/81/FACT(81)-O6^83/83/FACT(83)+O6^85/85/FACT(85)-O6^87/87/FACT(87)+O6^89/89/FACT(89)-O6^91/91/FACT(91)+O6^93/93/FACT(93)-O6^95/95/FACT(95)+O6^97/97/FACT(97)-O6^99/99/FACT(99)+O6^101/101/FACT(101)-O6^103/103/FACT(103)</f>
        <v>1.8083994754021944</v>
      </c>
      <c r="Q6" s="56">
        <f>LN(O6)+0.577215665-R6</f>
        <v>-8.2256069162157441E-2</v>
      </c>
      <c r="R6" s="56">
        <f>O6^2/2/FACT(2)-O6^4/4/FACT(4)+O6^6/6/FACT(6)-O6^8/8/FACT(8)+O6^10/10/FACT(10)-O6^12/12/FACT(12)+O6^14/14/FACT(14)-O6^16/16/FACT(16)+O6^18/18/FACT(18)-O6^20/20/FACT(20)+O6^22/22/FACT(22)-O6^24/24/FACT(24)+O6^26/26/FACT(26)-O6^28/28/FACT(28)+O6^30/30/FACT(30)-O6^32/32/FACT(32)+O6^34/34/FACT(34)-O6^36/36/FACT(36)+O6^38/38/FACT(38)-O6^40/40/FACT(40)+O6^42/42/FACT(42)-O6^44/44/FACT(44)+O6^46/46/FACT(46)-O6^48/48/FACT(48)+O6^50/50/FACT(50)-O6^52/52/FACT(52)+O6^54/54/FACT(54)-O6^56/56/FACT(56)+O6^58/58/FACT(58)-O6^60/60/FACT(60)+O6^62/62/FACT(62)-O6^64/64/FACT(64)+O6^66/66/FACT(66)-O6^68/68/FACT(68)+O6^70/70/FACT(70)-O6^72/72/FACT(72)+O6^74/74/FACT(74)-O6^76/76/FACT(76)+O6^78/78/FACT(78)-O6^80/80/FACT(80)+O6^82/82/FACT(82)-O6^84/84/FACT(84)+O6^86/86/FACT(86)-O6^88/88/FACT(88)+O6^90/90/FACT(90)-O6^92/92/FACT(92)+O6^94/94/FACT(94)-O6^96/96/FACT(96)+O6^98/98/FACT(98)-O6^100/100/FACT(100)+O6^102/102/FACT(102)-O6^104/104/FACT(104)</f>
        <v>1.9682234196340789</v>
      </c>
      <c r="T6" s="7">
        <v>3</v>
      </c>
      <c r="U6" s="2">
        <f t="shared" si="0"/>
        <v>5.2359877559829883E-2</v>
      </c>
      <c r="V6" s="2">
        <f t="shared" ref="V6:V12" si="1">ABS((COS($G$21)-COS($G$21*COS(U6)))/SIN(U6))</f>
        <v>1.9348680579818221E-2</v>
      </c>
    </row>
    <row r="7" spans="1:27" ht="14.4" customHeight="1" thickBot="1" x14ac:dyDescent="0.35">
      <c r="A7" s="183"/>
      <c r="B7" s="184"/>
      <c r="C7" s="172"/>
      <c r="D7" s="49"/>
      <c r="E7" s="50"/>
      <c r="F7" s="51"/>
      <c r="G7" s="52"/>
      <c r="K7" s="10"/>
      <c r="L7" s="10"/>
      <c r="M7" s="10"/>
      <c r="N7" s="10"/>
      <c r="O7" s="47"/>
      <c r="P7" s="56"/>
      <c r="Q7" s="56"/>
      <c r="R7" s="56"/>
    </row>
    <row r="8" spans="1:27" ht="13.75" customHeight="1" x14ac:dyDescent="0.3">
      <c r="A8" s="183"/>
      <c r="B8" s="184"/>
      <c r="C8" s="172"/>
      <c r="D8" s="178" t="s">
        <v>34</v>
      </c>
      <c r="E8" s="171"/>
      <c r="F8" s="22" t="s">
        <v>1</v>
      </c>
      <c r="G8" s="16">
        <v>3</v>
      </c>
      <c r="J8" s="55"/>
      <c r="K8" s="138" t="s">
        <v>69</v>
      </c>
      <c r="L8" s="139"/>
      <c r="M8" s="139"/>
      <c r="N8" s="140"/>
      <c r="O8" s="55"/>
      <c r="P8" s="55"/>
      <c r="Q8" s="55"/>
      <c r="R8" s="55"/>
      <c r="T8" s="7">
        <v>4</v>
      </c>
      <c r="U8" s="2">
        <f t="shared" si="0"/>
        <v>6.9813170079773182E-2</v>
      </c>
      <c r="V8" s="2">
        <f t="shared" si="1"/>
        <v>2.5793229452107727E-2</v>
      </c>
    </row>
    <row r="9" spans="1:27" ht="15" customHeight="1" thickBot="1" x14ac:dyDescent="0.35">
      <c r="A9" s="183"/>
      <c r="B9" s="184"/>
      <c r="C9" s="172"/>
      <c r="D9" s="179"/>
      <c r="E9" s="172"/>
      <c r="F9" s="25" t="s">
        <v>38</v>
      </c>
      <c r="G9" s="23">
        <v>0.35</v>
      </c>
      <c r="K9" s="141"/>
      <c r="L9" s="142"/>
      <c r="M9" s="142"/>
      <c r="N9" s="143"/>
      <c r="T9" s="7">
        <v>5</v>
      </c>
      <c r="U9" s="2">
        <f t="shared" si="0"/>
        <v>8.7266462599716474E-2</v>
      </c>
      <c r="V9" s="2">
        <f t="shared" si="1"/>
        <v>3.2233471160184511E-2</v>
      </c>
      <c r="Y9" s="37"/>
      <c r="Z9" s="37"/>
      <c r="AA9" s="37"/>
    </row>
    <row r="10" spans="1:27" ht="15" customHeight="1" thickBot="1" x14ac:dyDescent="0.35">
      <c r="A10" s="183"/>
      <c r="B10" s="184"/>
      <c r="C10" s="172"/>
      <c r="D10" s="179"/>
      <c r="E10" s="172"/>
      <c r="F10" s="26" t="s">
        <v>2</v>
      </c>
      <c r="G10" s="82">
        <f>(G8*EXP(GAMMALN(1+2/G8))/2^(1+4/G8)/(EXP(GAMMALN(1/2+1/G8)))^2)</f>
        <v>0.42175393464842692</v>
      </c>
      <c r="K10" s="144"/>
      <c r="L10" s="145"/>
      <c r="M10" s="145"/>
      <c r="N10" s="146"/>
      <c r="T10" s="7">
        <v>6</v>
      </c>
      <c r="U10" s="2">
        <f t="shared" si="0"/>
        <v>0.10471975511965977</v>
      </c>
      <c r="V10" s="2">
        <f t="shared" si="1"/>
        <v>3.8668314270438348E-2</v>
      </c>
    </row>
    <row r="11" spans="1:27" ht="15" customHeight="1" thickBot="1" x14ac:dyDescent="0.35">
      <c r="A11" s="183"/>
      <c r="B11" s="184"/>
      <c r="C11" s="172"/>
      <c r="D11" s="180"/>
      <c r="E11" s="173"/>
      <c r="F11" s="24" t="s">
        <v>36</v>
      </c>
      <c r="G11" s="9">
        <f>IF(G6=0,G10*G9,0)</f>
        <v>0</v>
      </c>
      <c r="K11" s="62" t="s">
        <v>59</v>
      </c>
      <c r="M11" s="47" t="s">
        <v>61</v>
      </c>
      <c r="N11" s="72" t="s">
        <v>62</v>
      </c>
      <c r="T11" s="7">
        <v>7</v>
      </c>
      <c r="U11" s="2">
        <f t="shared" si="0"/>
        <v>0.12217304763960307</v>
      </c>
      <c r="V11" s="2">
        <f t="shared" si="1"/>
        <v>4.509665765005786E-2</v>
      </c>
    </row>
    <row r="12" spans="1:27" ht="15" customHeight="1" thickBot="1" x14ac:dyDescent="0.35">
      <c r="A12" s="183"/>
      <c r="B12" s="184"/>
      <c r="C12" s="173"/>
      <c r="D12" s="134" t="s">
        <v>39</v>
      </c>
      <c r="E12" s="135"/>
      <c r="F12" s="135"/>
      <c r="G12" s="54">
        <f>G6+G11</f>
        <v>1.7000000000000001E-2</v>
      </c>
      <c r="K12" s="57">
        <f>2*PI()*G12*G12/(G16*G18)</f>
        <v>6.7125495756359867E-6</v>
      </c>
      <c r="M12" s="57">
        <f>0.5772+LN(K12)-N12</f>
        <v>-11.334331712598221</v>
      </c>
      <c r="N12" s="57">
        <f>K12^2/2/FACT(2)-K12^4/4/FACT(4)+K12^6/6/FACT(6)-K12^8/8/FACT(8)+K12^10/10/FACT(10)-K12^12/12/FACT(12)+K12^14/14/FACT(14)-K12^16/16/FACT(16)+K12^18/18/FACT(18)-K12^20/20/FACT(20)+K12^22/22/FACT(22)-K12^24/24/FACT(24)+K12^26/26/FACT(26)-K12^28/28/FACT(28)+K12^30/30/FACT(30)-K12^32/32/FACT(32)+K12^34/34/FACT(34)-K12^36/36/FACT(36)+K12^38/38/FACT(38)-K12^40/40/FACT(40)+K12^42/42/FACT(42)-K12^44/44/FACT(44)+K12^46/46/FACT(46)-K12^48/48/FACT(48)+K12^50/50/FACT(50)-K12^52/52/FACT(52)+K12^54/54/FACT(54)-K12^56/56/FACT(56)+K12^58/58/FACT(58)-K12^60/60/FACT(60)+K12^62/62/FACT(62)-K97^64/64/FACT(64)+K12^66/66/FACT(66)-K12^68/68/FACT(68)+K12^70/70/FACT(70)-K12^72/72/FACT(72)+K12^74/74/FACT(74)-K12^76/76/FACT(76)+K12^78/78/FACT(78)-K12^80/80/FACT(80)+K12^82/82/FACT(82)-K12^84/84/FACT(84)+K12^86/86/FACT(86)-K12^88/88/FACT(88)+K12^90/90/FACT(90)-K12^92/92/FACT(92)+K12^94/94/FACT(94)-K12^96/96/FACT(96)+K12^98/98/FACT(98)-K12^100/100/FACT(100)+K12^102/102/FACT(102)-K12^104/104/FACT(104)</f>
        <v>1.1264580451321568E-11</v>
      </c>
      <c r="T12" s="7">
        <v>8</v>
      </c>
      <c r="U12" s="2">
        <f t="shared" si="0"/>
        <v>0.13962634015954636</v>
      </c>
      <c r="V12" s="2">
        <f t="shared" si="1"/>
        <v>5.1517388589613293E-2</v>
      </c>
    </row>
    <row r="13" spans="1:27" ht="5.4" customHeight="1" thickBot="1" x14ac:dyDescent="0.35">
      <c r="A13" s="183"/>
      <c r="B13" s="184"/>
      <c r="C13" s="21"/>
      <c r="D13" s="13"/>
      <c r="E13" s="13"/>
      <c r="F13" s="13"/>
      <c r="G13" s="14"/>
      <c r="S13" s="7"/>
      <c r="T13" s="2"/>
    </row>
    <row r="14" spans="1:27" ht="15" customHeight="1" thickBot="1" x14ac:dyDescent="0.35">
      <c r="A14" s="185"/>
      <c r="B14" s="186"/>
      <c r="C14" s="176" t="s">
        <v>4</v>
      </c>
      <c r="D14" s="176"/>
      <c r="E14" s="176"/>
      <c r="F14" s="177"/>
      <c r="G14" s="3">
        <v>7</v>
      </c>
      <c r="H14" s="15"/>
      <c r="J14" s="5"/>
      <c r="S14" s="7">
        <v>9</v>
      </c>
      <c r="T14" s="2">
        <f t="shared" si="0"/>
        <v>0.15707963267948966</v>
      </c>
      <c r="U14" s="2">
        <f>ABS((COS($G$21)-COS($G$21*COS(T14)))/SIN(T14))</f>
        <v>5.7929380959528001E-2</v>
      </c>
    </row>
    <row r="15" spans="1:27" ht="18.649999999999999" customHeight="1" thickBot="1" x14ac:dyDescent="0.35">
      <c r="A15" s="18"/>
      <c r="B15" s="18"/>
      <c r="C15" s="19"/>
      <c r="D15" s="19"/>
      <c r="E15" s="19"/>
      <c r="F15" s="19"/>
      <c r="G15" s="20" t="s">
        <v>102</v>
      </c>
      <c r="S15" s="7"/>
      <c r="T15" s="2"/>
    </row>
    <row r="16" spans="1:27" ht="14.4" customHeight="1" x14ac:dyDescent="0.3">
      <c r="A16" s="158" t="s">
        <v>37</v>
      </c>
      <c r="B16" s="159"/>
      <c r="C16" s="159"/>
      <c r="D16" s="160"/>
      <c r="E16" s="167" t="s">
        <v>5</v>
      </c>
      <c r="F16" s="168"/>
      <c r="G16" s="58">
        <f>300/G14</f>
        <v>42.857142857142854</v>
      </c>
      <c r="H16" s="27" t="s">
        <v>21</v>
      </c>
      <c r="I16" s="99"/>
      <c r="S16" s="7">
        <v>10</v>
      </c>
      <c r="T16" s="2">
        <f t="shared" si="0"/>
        <v>0.17453292519943295</v>
      </c>
      <c r="U16" s="2">
        <f t="shared" ref="U16:V22" si="2">ABS((COS($G$21)-COS($G$21*COS(T16)))/SIN(T16))</f>
        <v>6.433149340600805E-2</v>
      </c>
    </row>
    <row r="17" spans="1:31" ht="14.4" customHeight="1" x14ac:dyDescent="0.4">
      <c r="A17" s="161"/>
      <c r="B17" s="162"/>
      <c r="C17" s="162"/>
      <c r="D17" s="163"/>
      <c r="E17" s="169" t="s">
        <v>60</v>
      </c>
      <c r="F17" s="170"/>
      <c r="G17" s="59">
        <f>G4</f>
        <v>6</v>
      </c>
      <c r="H17" s="28" t="s">
        <v>21</v>
      </c>
      <c r="I17" s="99"/>
      <c r="T17" s="7">
        <v>11</v>
      </c>
      <c r="U17" s="2">
        <f t="shared" si="0"/>
        <v>0.19198621771937624</v>
      </c>
      <c r="V17" s="2">
        <f t="shared" si="2"/>
        <v>7.0722567591904692E-2</v>
      </c>
    </row>
    <row r="18" spans="1:31" ht="14.4" customHeight="1" x14ac:dyDescent="0.35">
      <c r="A18" s="161"/>
      <c r="B18" s="162"/>
      <c r="C18" s="162"/>
      <c r="D18" s="163"/>
      <c r="E18" s="169" t="s">
        <v>6</v>
      </c>
      <c r="F18" s="170"/>
      <c r="G18" s="59">
        <f>G17*1.052</f>
        <v>6.3120000000000003</v>
      </c>
      <c r="H18" s="28" t="s">
        <v>21</v>
      </c>
      <c r="I18" s="99"/>
      <c r="T18" s="7">
        <v>12</v>
      </c>
      <c r="U18" s="2">
        <f t="shared" si="0"/>
        <v>0.20943951023931953</v>
      </c>
      <c r="V18" s="2">
        <f t="shared" si="2"/>
        <v>7.7101426487940203E-2</v>
      </c>
      <c r="AE18" s="45"/>
    </row>
    <row r="19" spans="1:31" ht="14.4" customHeight="1" x14ac:dyDescent="0.3">
      <c r="A19" s="161"/>
      <c r="B19" s="162"/>
      <c r="C19" s="162"/>
      <c r="D19" s="163"/>
      <c r="E19" s="169" t="s">
        <v>17</v>
      </c>
      <c r="F19" s="170"/>
      <c r="G19" s="59">
        <f>G18/G16</f>
        <v>0.14728000000000002</v>
      </c>
      <c r="H19" s="28" t="s">
        <v>22</v>
      </c>
      <c r="I19" s="99"/>
      <c r="T19" s="7">
        <v>13</v>
      </c>
      <c r="U19" s="2">
        <f t="shared" si="0"/>
        <v>0.22689280275926285</v>
      </c>
      <c r="V19" s="2">
        <f t="shared" si="2"/>
        <v>8.3466872719652127E-2</v>
      </c>
    </row>
    <row r="20" spans="1:31" s="6" customFormat="1" ht="14.4" customHeight="1" x14ac:dyDescent="0.3">
      <c r="A20" s="161"/>
      <c r="B20" s="162"/>
      <c r="C20" s="162"/>
      <c r="D20" s="163"/>
      <c r="E20" s="136" t="s">
        <v>18</v>
      </c>
      <c r="F20" s="137"/>
      <c r="G20" s="60">
        <f>2*PI()/G16</f>
        <v>0.14660765716752369</v>
      </c>
      <c r="H20" s="29" t="s">
        <v>23</v>
      </c>
      <c r="I20" s="100"/>
      <c r="J20" s="2"/>
      <c r="K20" s="2"/>
      <c r="L20" s="2"/>
      <c r="M20" s="2"/>
      <c r="N20" s="2"/>
      <c r="O20" s="2"/>
      <c r="P20" s="2"/>
      <c r="Q20" s="2"/>
      <c r="R20" s="2"/>
      <c r="S20" s="2"/>
      <c r="T20" s="7">
        <v>14</v>
      </c>
      <c r="U20" s="2">
        <f t="shared" si="0"/>
        <v>0.24434609527920614</v>
      </c>
      <c r="V20" s="2">
        <f t="shared" si="2"/>
        <v>8.9817686975333322E-2</v>
      </c>
    </row>
    <row r="21" spans="1:31" ht="14.4" customHeight="1" thickBot="1" x14ac:dyDescent="0.35">
      <c r="A21" s="161"/>
      <c r="B21" s="162"/>
      <c r="C21" s="162"/>
      <c r="D21" s="163"/>
      <c r="E21" s="169" t="s">
        <v>19</v>
      </c>
      <c r="F21" s="170"/>
      <c r="G21" s="59">
        <f>2*PI()*G18/G16</f>
        <v>0.92538753204140944</v>
      </c>
      <c r="H21" s="28" t="s">
        <v>24</v>
      </c>
      <c r="I21" s="99"/>
      <c r="T21" s="7">
        <v>15</v>
      </c>
      <c r="U21" s="2">
        <f t="shared" si="0"/>
        <v>0.26179938779914941</v>
      </c>
      <c r="V21" s="2">
        <f t="shared" si="2"/>
        <v>9.6152626480165246E-2</v>
      </c>
    </row>
    <row r="22" spans="1:31" ht="14.4" customHeight="1" thickBot="1" x14ac:dyDescent="0.35">
      <c r="A22" s="164"/>
      <c r="B22" s="165"/>
      <c r="C22" s="165"/>
      <c r="D22" s="166"/>
      <c r="E22" s="121" t="s">
        <v>10</v>
      </c>
      <c r="F22" s="122"/>
      <c r="G22" s="61">
        <f>60*(LN(G17/G12)-1-0.5*LN(2*G17/G16))</f>
        <v>330.16705452362521</v>
      </c>
      <c r="H22" s="30" t="s">
        <v>25</v>
      </c>
      <c r="I22" s="99"/>
      <c r="K22" s="147" t="s">
        <v>70</v>
      </c>
      <c r="L22" s="148"/>
      <c r="T22" s="7">
        <v>16</v>
      </c>
      <c r="U22" s="2">
        <f t="shared" si="0"/>
        <v>0.27925268031909273</v>
      </c>
      <c r="V22" s="2">
        <f t="shared" si="2"/>
        <v>0.10247042354163026</v>
      </c>
    </row>
    <row r="23" spans="1:31" ht="6" customHeight="1" thickBot="1" x14ac:dyDescent="0.35">
      <c r="A23" s="31"/>
      <c r="B23" s="17"/>
      <c r="C23" s="17"/>
      <c r="D23" s="32"/>
      <c r="E23" s="32"/>
      <c r="F23" s="32"/>
      <c r="G23" s="33"/>
      <c r="H23" s="34"/>
      <c r="I23" s="99"/>
    </row>
    <row r="24" spans="1:31" ht="13.75" customHeight="1" thickBot="1" x14ac:dyDescent="0.35">
      <c r="A24" s="187" t="s">
        <v>35</v>
      </c>
      <c r="B24" s="188"/>
      <c r="C24" s="123" t="s">
        <v>49</v>
      </c>
      <c r="D24" s="124"/>
      <c r="E24" s="204" t="s">
        <v>7</v>
      </c>
      <c r="F24" s="110"/>
      <c r="G24" s="38">
        <f>L26</f>
        <v>6.1672161107311476</v>
      </c>
      <c r="H24" s="39" t="s">
        <v>25</v>
      </c>
      <c r="I24" s="101"/>
      <c r="K24" s="63" t="s">
        <v>66</v>
      </c>
      <c r="L24" s="64" t="s">
        <v>53</v>
      </c>
      <c r="M24" s="2" t="s">
        <v>72</v>
      </c>
      <c r="O24" s="4" t="s">
        <v>100</v>
      </c>
      <c r="P24" s="87">
        <f>(G31^2+G32^2)/G32</f>
        <v>-248.85060921205752</v>
      </c>
      <c r="T24" s="7">
        <v>17</v>
      </c>
      <c r="U24" s="2">
        <f t="shared" si="0"/>
        <v>0.29670597283903605</v>
      </c>
      <c r="V24" s="2">
        <f t="shared" ref="V24:V33" si="3">ABS((COS($G$21)-COS($G$21*COS(U24)))/SIN(U24))</f>
        <v>0.10876978417119423</v>
      </c>
    </row>
    <row r="25" spans="1:31" ht="14.4" customHeight="1" x14ac:dyDescent="0.3">
      <c r="A25" s="189"/>
      <c r="B25" s="190"/>
      <c r="C25" s="125"/>
      <c r="D25" s="126"/>
      <c r="E25" s="204" t="s">
        <v>9</v>
      </c>
      <c r="F25" s="110"/>
      <c r="G25" s="40">
        <f>L30</f>
        <v>-136.77773535548792</v>
      </c>
      <c r="H25" s="41" t="s">
        <v>25</v>
      </c>
      <c r="I25" s="101"/>
      <c r="K25" s="65" t="s">
        <v>58</v>
      </c>
      <c r="L25" s="66" t="s">
        <v>58</v>
      </c>
      <c r="O25" s="4" t="s">
        <v>101</v>
      </c>
      <c r="P25" s="87">
        <f>(G31^2+G32^2)/G31</f>
        <v>6400.3446694612712</v>
      </c>
      <c r="T25" s="7">
        <v>18</v>
      </c>
      <c r="U25" s="2">
        <f t="shared" si="0"/>
        <v>0.31415926535897931</v>
      </c>
      <c r="V25" s="2">
        <f t="shared" si="3"/>
        <v>0.1150493867871276</v>
      </c>
    </row>
    <row r="26" spans="1:31" ht="14.4" customHeight="1" x14ac:dyDescent="0.3">
      <c r="A26" s="189"/>
      <c r="B26" s="190"/>
      <c r="C26" s="125"/>
      <c r="D26" s="126"/>
      <c r="E26" s="204" t="s">
        <v>12</v>
      </c>
      <c r="F26" s="110"/>
      <c r="G26" s="107">
        <f>G24/SIN(G21)^2</f>
        <v>9.6639441484910744</v>
      </c>
      <c r="H26" s="41" t="s">
        <v>25</v>
      </c>
      <c r="I26" s="101"/>
      <c r="K26" s="67">
        <f>30*(0.5772+LN(K6)-M6+(1/2)*SIN(K6)*(P6-2*L6)+(1/2)*COS(K6)*(0.5772+LN(G21)+Q6-2*M6))</f>
        <v>6.1668110925980173</v>
      </c>
      <c r="L26" s="68">
        <f>15*((2+2*COS(K6))*N6-COS(K6)*R6-2*SIN(K6)*L6+SIN(K6)*P6)</f>
        <v>6.1672161107311476</v>
      </c>
      <c r="T26" s="7">
        <v>19</v>
      </c>
      <c r="U26" s="2">
        <f t="shared" si="0"/>
        <v>0.33161255787892258</v>
      </c>
      <c r="V26" s="2">
        <f t="shared" si="3"/>
        <v>0.12130788100320909</v>
      </c>
    </row>
    <row r="27" spans="1:31" ht="14.4" customHeight="1" thickBot="1" x14ac:dyDescent="0.35">
      <c r="A27" s="189"/>
      <c r="B27" s="190"/>
      <c r="C27" s="127"/>
      <c r="D27" s="128"/>
      <c r="E27" s="204" t="s">
        <v>11</v>
      </c>
      <c r="F27" s="110"/>
      <c r="G27" s="106">
        <f>G25/SIN(G21)/SIN(G21)</f>
        <v>-214.3288594885679</v>
      </c>
      <c r="H27" s="43" t="s">
        <v>25</v>
      </c>
      <c r="I27" s="101"/>
      <c r="K27" s="69" t="s">
        <v>67</v>
      </c>
      <c r="L27" s="78" t="s">
        <v>65</v>
      </c>
      <c r="M27" s="72" t="s">
        <v>73</v>
      </c>
      <c r="N27" s="72" t="s">
        <v>67</v>
      </c>
      <c r="T27" s="7">
        <v>20</v>
      </c>
      <c r="U27" s="2">
        <f t="shared" si="0"/>
        <v>0.3490658503988659</v>
      </c>
      <c r="V27" s="2">
        <f t="shared" si="3"/>
        <v>0.12754388650791312</v>
      </c>
    </row>
    <row r="28" spans="1:31" ht="14.4" customHeight="1" thickBot="1" x14ac:dyDescent="0.35">
      <c r="A28" s="189"/>
      <c r="B28" s="190"/>
      <c r="C28" s="155"/>
      <c r="D28" s="156"/>
      <c r="E28" s="157"/>
      <c r="F28" s="46" t="s">
        <v>20</v>
      </c>
      <c r="G28" s="35">
        <f>2*G24/G22</f>
        <v>3.7358155674432084E-2</v>
      </c>
      <c r="H28" s="36" t="s">
        <v>26</v>
      </c>
      <c r="I28" s="99"/>
      <c r="K28" s="67">
        <f>K26/SIN(G21)/SIN(G21)</f>
        <v>9.663309490559941</v>
      </c>
      <c r="L28" s="79">
        <f>L26/SIN(G21)/SIN(G21)</f>
        <v>9.6639441484910744</v>
      </c>
      <c r="M28" s="57">
        <f>60*(0.5572+LN(K6)-M6)+30*(0.5772+LN(G21)-2*M6+Q6)*COS(K6)+30*(P6-2*L6)*SIN(K6)</f>
        <v>11.133622185196032</v>
      </c>
      <c r="N28" s="57"/>
      <c r="T28" s="7">
        <v>21</v>
      </c>
      <c r="U28" s="2">
        <f t="shared" si="0"/>
        <v>0.36651914291880922</v>
      </c>
      <c r="V28" s="2">
        <f t="shared" si="3"/>
        <v>0.13375599203852997</v>
      </c>
    </row>
    <row r="29" spans="1:31" ht="14.4" customHeight="1" thickBot="1" x14ac:dyDescent="0.35">
      <c r="A29" s="189"/>
      <c r="B29" s="190"/>
      <c r="C29" s="123" t="s">
        <v>50</v>
      </c>
      <c r="D29" s="124"/>
      <c r="E29" s="204" t="s">
        <v>15</v>
      </c>
      <c r="F29" s="110"/>
      <c r="G29" s="104">
        <f>G31*SIN(G21)*SIN(G21)</f>
        <v>6.1652795777772527</v>
      </c>
      <c r="H29" s="41" t="s">
        <v>25</v>
      </c>
      <c r="I29" s="101"/>
      <c r="K29" s="67" t="s">
        <v>68</v>
      </c>
      <c r="L29" s="70" t="s">
        <v>8</v>
      </c>
    </row>
    <row r="30" spans="1:31" ht="14.4" customHeight="1" thickBot="1" x14ac:dyDescent="0.35">
      <c r="A30" s="189"/>
      <c r="B30" s="190"/>
      <c r="C30" s="125"/>
      <c r="D30" s="126"/>
      <c r="E30" s="210" t="s">
        <v>9</v>
      </c>
      <c r="F30" s="120"/>
      <c r="G30" s="104">
        <f>G32*SIN(G21)*SIN(G21)</f>
        <v>-158.56868667634802</v>
      </c>
      <c r="H30" s="44" t="s">
        <v>25</v>
      </c>
      <c r="I30" s="101"/>
      <c r="K30" s="67">
        <f>15*(2*L6+COS(K6)*(2*L6-P6)-SIN(K6)*(2*M6-Q6-M12))</f>
        <v>-136.77796118103259</v>
      </c>
      <c r="L30" s="68">
        <f>-15*(SIN(K6)*(-0.577215665+LN(G18/G20/G12/G12)+2*M6-Q6)-COS(K6)*(2*L6-P6)-2*L6)</f>
        <v>-136.77773535548792</v>
      </c>
    </row>
    <row r="31" spans="1:31" ht="14.4" customHeight="1" x14ac:dyDescent="0.3">
      <c r="A31" s="189"/>
      <c r="B31" s="190"/>
      <c r="C31" s="125"/>
      <c r="D31" s="126"/>
      <c r="E31" s="204" t="s">
        <v>13</v>
      </c>
      <c r="F31" s="110"/>
      <c r="G31" s="105">
        <f>G22*SINH(G28)/(COSH(G28)-COS(2*G21))</f>
        <v>9.6609096275707547</v>
      </c>
      <c r="H31" s="39" t="s">
        <v>25</v>
      </c>
      <c r="I31" s="101"/>
      <c r="K31" s="67" t="s">
        <v>64</v>
      </c>
      <c r="L31" s="80" t="s">
        <v>64</v>
      </c>
      <c r="M31" s="72" t="s">
        <v>74</v>
      </c>
      <c r="N31" s="72" t="s">
        <v>64</v>
      </c>
      <c r="T31" s="7">
        <v>22</v>
      </c>
      <c r="U31" s="2">
        <f t="shared" si="0"/>
        <v>0.38397243543875248</v>
      </c>
      <c r="V31" s="2">
        <f t="shared" si="3"/>
        <v>0.13994275445451315</v>
      </c>
    </row>
    <row r="32" spans="1:31" ht="14.4" customHeight="1" thickBot="1" x14ac:dyDescent="0.35">
      <c r="A32" s="189"/>
      <c r="B32" s="190"/>
      <c r="C32" s="127"/>
      <c r="D32" s="128"/>
      <c r="E32" s="205" t="s">
        <v>14</v>
      </c>
      <c r="F32" s="112"/>
      <c r="G32" s="106">
        <f>G22*(-SIN(G21*2))/(COSH(G28)-COS(G21*2))</f>
        <v>-248.47498518389625</v>
      </c>
      <c r="H32" s="43" t="s">
        <v>25</v>
      </c>
      <c r="I32" s="101"/>
      <c r="K32" s="71">
        <f>K30/SIN(G21)/SIN(G21)</f>
        <v>-214.32921335413897</v>
      </c>
      <c r="L32" s="81">
        <f>L30/SIN(G21)/SIN(G21)</f>
        <v>-214.3288594885679</v>
      </c>
      <c r="M32" s="57">
        <f>60*L6+30*(Q6-LN(G21)-0.5772)*SIN(K6)-30*P6*COS(K6)</f>
        <v>90.178253062306297</v>
      </c>
      <c r="N32" s="57"/>
      <c r="T32" s="7">
        <v>23</v>
      </c>
      <c r="U32" s="2">
        <f t="shared" si="0"/>
        <v>0.40142572795869574</v>
      </c>
      <c r="V32" s="2">
        <f t="shared" si="3"/>
        <v>0.14610269791417316</v>
      </c>
    </row>
    <row r="33" spans="1:22" ht="14.4" customHeight="1" x14ac:dyDescent="0.3">
      <c r="A33" s="189"/>
      <c r="B33" s="190"/>
      <c r="C33" s="113" t="s">
        <v>98</v>
      </c>
      <c r="D33" s="114"/>
      <c r="E33" s="119" t="s">
        <v>75</v>
      </c>
      <c r="F33" s="120"/>
      <c r="G33" s="90">
        <v>495</v>
      </c>
      <c r="H33" s="91" t="s">
        <v>79</v>
      </c>
      <c r="I33" s="1"/>
      <c r="T33" s="7">
        <v>26</v>
      </c>
      <c r="U33" s="2">
        <f t="shared" si="0"/>
        <v>0.4537856055185257</v>
      </c>
      <c r="V33" s="2">
        <f t="shared" si="3"/>
        <v>0.1644063513648796</v>
      </c>
    </row>
    <row r="34" spans="1:22" ht="14.4" customHeight="1" x14ac:dyDescent="0.3">
      <c r="A34" s="189"/>
      <c r="B34" s="190"/>
      <c r="C34" s="115"/>
      <c r="D34" s="116"/>
      <c r="E34" s="109" t="s">
        <v>76</v>
      </c>
      <c r="F34" s="110"/>
      <c r="G34" s="83">
        <v>292</v>
      </c>
      <c r="H34" s="84" t="s">
        <v>79</v>
      </c>
      <c r="I34" s="1"/>
    </row>
    <row r="35" spans="1:22" ht="14.4" customHeight="1" x14ac:dyDescent="0.3">
      <c r="A35" s="189"/>
      <c r="B35" s="190"/>
      <c r="C35" s="115"/>
      <c r="D35" s="116"/>
      <c r="E35" s="109" t="s">
        <v>77</v>
      </c>
      <c r="F35" s="110"/>
      <c r="G35" s="40">
        <f>G33+G34</f>
        <v>787</v>
      </c>
      <c r="H35" s="84" t="s">
        <v>79</v>
      </c>
      <c r="I35" s="1"/>
    </row>
    <row r="36" spans="1:22" ht="14.4" customHeight="1" x14ac:dyDescent="0.3">
      <c r="A36" s="189"/>
      <c r="B36" s="190"/>
      <c r="C36" s="115"/>
      <c r="D36" s="116"/>
      <c r="E36" s="109" t="s">
        <v>11</v>
      </c>
      <c r="F36" s="110"/>
      <c r="G36" s="40">
        <f>1000000/2/PI()/G14/G35</f>
        <v>28.889987854764083</v>
      </c>
      <c r="H36" s="84" t="s">
        <v>25</v>
      </c>
      <c r="I36" s="1"/>
    </row>
    <row r="37" spans="1:22" ht="16.75" customHeight="1" x14ac:dyDescent="0.3">
      <c r="A37" s="189"/>
      <c r="B37" s="190"/>
      <c r="C37" s="115"/>
      <c r="D37" s="116"/>
      <c r="E37" s="109" t="s">
        <v>78</v>
      </c>
      <c r="F37" s="110"/>
      <c r="G37" s="40">
        <f>G4*(1-(G33/G35)/2)</f>
        <v>4.1130876747141043</v>
      </c>
      <c r="H37" s="84" t="s">
        <v>21</v>
      </c>
      <c r="I37" s="1"/>
      <c r="L37" s="2">
        <f>SQRT(18^2+157^2)</f>
        <v>158.02847844613325</v>
      </c>
      <c r="T37" s="7">
        <v>27</v>
      </c>
      <c r="U37" s="2">
        <f t="shared" si="0"/>
        <v>0.47123889803846897</v>
      </c>
      <c r="V37" s="2">
        <f t="shared" ref="V37:V74" si="4">ABS((COS($G$21)-COS($G$21*COS(U37)))/SIN(U37))</f>
        <v>0.17044358385359054</v>
      </c>
    </row>
    <row r="38" spans="1:22" ht="14.4" customHeight="1" x14ac:dyDescent="0.3">
      <c r="A38" s="189"/>
      <c r="B38" s="190"/>
      <c r="C38" s="115"/>
      <c r="D38" s="116"/>
      <c r="E38" s="109" t="s">
        <v>80</v>
      </c>
      <c r="F38" s="110"/>
      <c r="G38" s="40">
        <f>160*PI()^2*(G37/G16)^2</f>
        <v>14.544849529864241</v>
      </c>
      <c r="H38" s="84" t="s">
        <v>25</v>
      </c>
      <c r="I38" s="1"/>
      <c r="L38" s="2">
        <f>L37/50</f>
        <v>3.1605695689226652</v>
      </c>
      <c r="T38" s="7">
        <v>28</v>
      </c>
      <c r="U38" s="2">
        <f t="shared" si="0"/>
        <v>0.48869219055841229</v>
      </c>
      <c r="V38" s="2">
        <f t="shared" si="4"/>
        <v>0.17644610655644583</v>
      </c>
    </row>
    <row r="39" spans="1:22" ht="14.4" customHeight="1" x14ac:dyDescent="0.3">
      <c r="A39" s="189"/>
      <c r="B39" s="190"/>
      <c r="C39" s="115"/>
      <c r="D39" s="116"/>
      <c r="E39" s="109" t="s">
        <v>99</v>
      </c>
      <c r="F39" s="110"/>
      <c r="G39" s="83">
        <f>G36/300</f>
        <v>9.6299959515880273E-2</v>
      </c>
      <c r="H39" s="84" t="s">
        <v>25</v>
      </c>
      <c r="I39" s="1"/>
      <c r="T39" s="7">
        <v>29</v>
      </c>
      <c r="U39" s="2">
        <f t="shared" si="0"/>
        <v>0.50614548307835561</v>
      </c>
      <c r="V39" s="2">
        <f t="shared" si="4"/>
        <v>0.18241223639155191</v>
      </c>
    </row>
    <row r="40" spans="1:22" ht="14.4" customHeight="1" x14ac:dyDescent="0.3">
      <c r="A40" s="189"/>
      <c r="B40" s="190"/>
      <c r="C40" s="115"/>
      <c r="D40" s="116"/>
      <c r="E40" s="109" t="s">
        <v>81</v>
      </c>
      <c r="F40" s="110"/>
      <c r="G40" s="83">
        <v>3</v>
      </c>
      <c r="H40" s="84" t="s">
        <v>25</v>
      </c>
      <c r="I40" s="1"/>
      <c r="T40" s="7">
        <v>30</v>
      </c>
      <c r="U40" s="2">
        <f t="shared" si="0"/>
        <v>0.52359877559829882</v>
      </c>
      <c r="V40" s="2">
        <f t="shared" si="4"/>
        <v>0.18834025500969334</v>
      </c>
    </row>
    <row r="41" spans="1:22" ht="14.4" customHeight="1" x14ac:dyDescent="0.3">
      <c r="A41" s="189"/>
      <c r="B41" s="190"/>
      <c r="C41" s="115"/>
      <c r="D41" s="116"/>
      <c r="E41" s="109" t="s">
        <v>82</v>
      </c>
      <c r="F41" s="110"/>
      <c r="G41" s="40">
        <f>SUM(G38:G40)</f>
        <v>17.641149489380119</v>
      </c>
      <c r="H41" s="84" t="s">
        <v>25</v>
      </c>
      <c r="I41" s="1"/>
      <c r="T41" s="7">
        <v>31</v>
      </c>
      <c r="U41" s="2">
        <f t="shared" si="0"/>
        <v>0.54105206811824214</v>
      </c>
      <c r="V41" s="2">
        <f t="shared" si="4"/>
        <v>0.19422840892089591</v>
      </c>
    </row>
    <row r="42" spans="1:22" ht="14.4" customHeight="1" x14ac:dyDescent="0.3">
      <c r="A42" s="189"/>
      <c r="B42" s="190"/>
      <c r="C42" s="115"/>
      <c r="D42" s="116"/>
      <c r="E42" s="109" t="s">
        <v>83</v>
      </c>
      <c r="F42" s="110"/>
      <c r="G42" s="40">
        <f>G38*100/G41</f>
        <v>82.448422868476712</v>
      </c>
      <c r="H42" s="84" t="s">
        <v>84</v>
      </c>
      <c r="I42" s="1"/>
      <c r="T42" s="7">
        <v>32</v>
      </c>
      <c r="U42" s="2">
        <f t="shared" si="0"/>
        <v>0.55850536063818546</v>
      </c>
      <c r="V42" s="2">
        <f t="shared" si="4"/>
        <v>0.20007490975144415</v>
      </c>
    </row>
    <row r="43" spans="1:22" ht="14.4" customHeight="1" x14ac:dyDescent="0.3">
      <c r="A43" s="189"/>
      <c r="B43" s="190"/>
      <c r="C43" s="115"/>
      <c r="D43" s="116"/>
      <c r="E43" s="109" t="s">
        <v>85</v>
      </c>
      <c r="F43" s="110"/>
      <c r="G43" s="40">
        <f>G36/G41</f>
        <v>1.6376476981931198</v>
      </c>
      <c r="H43" s="84"/>
      <c r="I43" s="1"/>
      <c r="T43" s="7">
        <v>33</v>
      </c>
      <c r="U43" s="2">
        <f t="shared" si="0"/>
        <v>0.57595865315812877</v>
      </c>
      <c r="V43" s="2">
        <f t="shared" si="4"/>
        <v>0.20587793463303181</v>
      </c>
    </row>
    <row r="44" spans="1:22" ht="15" customHeight="1" thickBot="1" x14ac:dyDescent="0.35">
      <c r="A44" s="189"/>
      <c r="B44" s="190"/>
      <c r="C44" s="117"/>
      <c r="D44" s="118"/>
      <c r="E44" s="111" t="s">
        <v>86</v>
      </c>
      <c r="F44" s="112"/>
      <c r="G44" s="42">
        <f>G14*1000/G43</f>
        <v>4274.423618537352</v>
      </c>
      <c r="H44" s="92" t="s">
        <v>87</v>
      </c>
      <c r="I44" s="1"/>
      <c r="T44" s="7">
        <v>34</v>
      </c>
      <c r="U44" s="2">
        <f t="shared" si="0"/>
        <v>0.59341194567807209</v>
      </c>
      <c r="V44" s="2">
        <f t="shared" si="4"/>
        <v>0.21163562672540182</v>
      </c>
    </row>
    <row r="45" spans="1:22" ht="15" thickBot="1" x14ac:dyDescent="0.4">
      <c r="A45" s="189"/>
      <c r="B45" s="190"/>
      <c r="C45" s="113" t="s">
        <v>93</v>
      </c>
      <c r="D45" s="114"/>
      <c r="E45" s="111" t="s">
        <v>91</v>
      </c>
      <c r="F45" s="112"/>
      <c r="G45" s="42">
        <v>9.19</v>
      </c>
      <c r="H45" s="93" t="s">
        <v>25</v>
      </c>
      <c r="I45" s="102"/>
    </row>
    <row r="46" spans="1:22" ht="15" thickBot="1" x14ac:dyDescent="0.4">
      <c r="A46" s="189"/>
      <c r="B46" s="190"/>
      <c r="C46" s="117"/>
      <c r="D46" s="118"/>
      <c r="E46" s="111" t="s">
        <v>92</v>
      </c>
      <c r="F46" s="112"/>
      <c r="G46" s="42">
        <v>-171</v>
      </c>
      <c r="H46" s="93" t="s">
        <v>25</v>
      </c>
      <c r="I46" s="102"/>
    </row>
    <row r="47" spans="1:22" ht="14.4" customHeight="1" x14ac:dyDescent="0.3">
      <c r="A47" s="189"/>
      <c r="B47" s="190"/>
      <c r="C47" s="193" t="s">
        <v>16</v>
      </c>
      <c r="D47" s="199"/>
      <c r="E47" s="202" t="s">
        <v>41</v>
      </c>
      <c r="F47" s="203"/>
      <c r="G47" s="38">
        <f>(120/G24)*W3^2</f>
        <v>3.0895420837138405</v>
      </c>
      <c r="H47" s="39"/>
      <c r="I47" s="101"/>
    </row>
    <row r="48" spans="1:22" ht="14.4" customHeight="1" x14ac:dyDescent="0.3">
      <c r="A48" s="189"/>
      <c r="B48" s="190"/>
      <c r="C48" s="195"/>
      <c r="D48" s="200"/>
      <c r="E48" s="204" t="s">
        <v>42</v>
      </c>
      <c r="F48" s="110"/>
      <c r="G48" s="40">
        <f>10*LOG10(G47)</f>
        <v>4.8989411526518571</v>
      </c>
      <c r="H48" s="41" t="s">
        <v>43</v>
      </c>
      <c r="I48" s="101"/>
    </row>
    <row r="49" spans="1:22" ht="14.4" customHeight="1" x14ac:dyDescent="0.3">
      <c r="A49" s="189"/>
      <c r="B49" s="190"/>
      <c r="C49" s="195"/>
      <c r="D49" s="200"/>
      <c r="E49" s="204" t="s">
        <v>44</v>
      </c>
      <c r="F49" s="110"/>
      <c r="G49" s="40">
        <f>10*LOG10(G47/1.64)</f>
        <v>2.7505026721748789</v>
      </c>
      <c r="H49" s="41" t="s">
        <v>46</v>
      </c>
      <c r="I49" s="101"/>
    </row>
    <row r="50" spans="1:22" ht="15" customHeight="1" thickBot="1" x14ac:dyDescent="0.35">
      <c r="A50" s="189"/>
      <c r="B50" s="190"/>
      <c r="C50" s="197"/>
      <c r="D50" s="201"/>
      <c r="E50" s="205" t="s">
        <v>45</v>
      </c>
      <c r="F50" s="112"/>
      <c r="G50" s="42">
        <f>10*LOG10(G47/3.28)</f>
        <v>-0.25979728446493333</v>
      </c>
      <c r="H50" s="43" t="s">
        <v>47</v>
      </c>
      <c r="I50" s="101"/>
    </row>
    <row r="51" spans="1:22" ht="17" thickBot="1" x14ac:dyDescent="0.35">
      <c r="A51" s="189"/>
      <c r="B51" s="190"/>
      <c r="C51" s="15"/>
      <c r="F51" s="4" t="s">
        <v>27</v>
      </c>
      <c r="G51" s="85">
        <f>G47*G16^2/4/PI()</f>
        <v>451.57582149198242</v>
      </c>
      <c r="H51" s="86" t="s">
        <v>48</v>
      </c>
      <c r="I51" s="101"/>
    </row>
    <row r="52" spans="1:22" ht="14.4" customHeight="1" x14ac:dyDescent="0.3">
      <c r="A52" s="189"/>
      <c r="B52" s="190"/>
      <c r="C52" s="193" t="s">
        <v>96</v>
      </c>
      <c r="D52" s="194"/>
      <c r="E52" s="206" t="s">
        <v>95</v>
      </c>
      <c r="F52" s="207"/>
      <c r="G52" s="97">
        <v>5</v>
      </c>
      <c r="H52" s="88" t="s">
        <v>90</v>
      </c>
      <c r="I52" s="103"/>
    </row>
    <row r="53" spans="1:22" ht="15" customHeight="1" x14ac:dyDescent="0.3">
      <c r="A53" s="189"/>
      <c r="B53" s="190"/>
      <c r="C53" s="195"/>
      <c r="D53" s="196"/>
      <c r="E53" s="208" t="s">
        <v>88</v>
      </c>
      <c r="F53" s="209"/>
      <c r="G53" s="95">
        <f>G52/G47</f>
        <v>1.6183628073418759</v>
      </c>
      <c r="H53" s="96" t="s">
        <v>90</v>
      </c>
      <c r="I53" s="103"/>
      <c r="J53" s="108" t="s">
        <v>89</v>
      </c>
      <c r="K53" s="108"/>
      <c r="L53" s="108"/>
      <c r="M53" s="108"/>
    </row>
    <row r="54" spans="1:22" ht="15" customHeight="1" thickBot="1" x14ac:dyDescent="0.35">
      <c r="A54" s="189"/>
      <c r="B54" s="190"/>
      <c r="C54" s="197"/>
      <c r="D54" s="198"/>
      <c r="E54" s="191" t="s">
        <v>94</v>
      </c>
      <c r="F54" s="192"/>
      <c r="G54" s="94">
        <f>100*G53/G42</f>
        <v>1.96287903520425</v>
      </c>
      <c r="H54" s="89" t="s">
        <v>90</v>
      </c>
      <c r="I54" s="103"/>
      <c r="J54" s="87" t="s">
        <v>97</v>
      </c>
      <c r="K54" s="87"/>
      <c r="L54" s="87"/>
      <c r="M54" s="87"/>
      <c r="T54" s="7">
        <v>44</v>
      </c>
      <c r="U54" s="2">
        <f t="shared" si="0"/>
        <v>0.76794487087750496</v>
      </c>
      <c r="V54" s="2">
        <f t="shared" si="4"/>
        <v>0.26628817116311987</v>
      </c>
    </row>
    <row r="55" spans="1:22" x14ac:dyDescent="0.3">
      <c r="F55" s="4"/>
      <c r="T55" s="7">
        <v>45</v>
      </c>
      <c r="U55" s="2">
        <f t="shared" si="0"/>
        <v>0.78539816339744828</v>
      </c>
      <c r="V55" s="2">
        <f t="shared" si="4"/>
        <v>0.27141586339735257</v>
      </c>
    </row>
    <row r="56" spans="1:22" x14ac:dyDescent="0.3">
      <c r="F56" s="4"/>
      <c r="T56" s="7">
        <v>46</v>
      </c>
      <c r="U56" s="2">
        <f t="shared" si="0"/>
        <v>0.80285145591739149</v>
      </c>
      <c r="V56" s="2">
        <f t="shared" si="4"/>
        <v>0.27647366506488585</v>
      </c>
    </row>
    <row r="57" spans="1:22" x14ac:dyDescent="0.3">
      <c r="F57" s="4"/>
      <c r="T57" s="7">
        <v>47</v>
      </c>
      <c r="U57" s="2">
        <f t="shared" si="0"/>
        <v>0.82030474843733492</v>
      </c>
      <c r="V57" s="2">
        <f t="shared" si="4"/>
        <v>0.2814593863012006</v>
      </c>
    </row>
    <row r="58" spans="1:22" x14ac:dyDescent="0.3">
      <c r="F58" s="4"/>
      <c r="T58" s="7">
        <v>48</v>
      </c>
      <c r="U58" s="2">
        <f t="shared" si="0"/>
        <v>0.83775804095727813</v>
      </c>
      <c r="V58" s="2">
        <f t="shared" si="4"/>
        <v>0.28637082452100937</v>
      </c>
    </row>
    <row r="59" spans="1:22" x14ac:dyDescent="0.3">
      <c r="F59" s="4"/>
      <c r="T59" s="7">
        <v>49</v>
      </c>
      <c r="U59" s="2">
        <f t="shared" si="0"/>
        <v>0.85521133347722145</v>
      </c>
      <c r="V59" s="2">
        <f t="shared" si="4"/>
        <v>0.29120576686055732</v>
      </c>
    </row>
    <row r="60" spans="1:22" x14ac:dyDescent="0.3">
      <c r="F60" s="4"/>
      <c r="T60" s="7">
        <v>50</v>
      </c>
      <c r="U60" s="2">
        <f t="shared" si="0"/>
        <v>0.87266462599716477</v>
      </c>
      <c r="V60" s="2">
        <f t="shared" si="4"/>
        <v>0.2959619927246438</v>
      </c>
    </row>
    <row r="61" spans="1:22" x14ac:dyDescent="0.3">
      <c r="F61" s="4"/>
      <c r="T61" s="7">
        <v>51</v>
      </c>
      <c r="U61" s="2">
        <f t="shared" si="0"/>
        <v>0.89011791851710798</v>
      </c>
      <c r="V61" s="2">
        <f t="shared" si="4"/>
        <v>0.30063727643318261</v>
      </c>
    </row>
    <row r="62" spans="1:22" x14ac:dyDescent="0.3">
      <c r="F62" s="4"/>
      <c r="T62" s="7">
        <v>52</v>
      </c>
      <c r="U62" s="2">
        <f t="shared" si="0"/>
        <v>0.90757121103705141</v>
      </c>
      <c r="V62" s="2">
        <f t="shared" si="4"/>
        <v>0.30522938996173082</v>
      </c>
    </row>
    <row r="63" spans="1:22" x14ac:dyDescent="0.3">
      <c r="F63" s="4"/>
      <c r="T63" s="7">
        <v>53</v>
      </c>
      <c r="U63" s="2">
        <f t="shared" si="0"/>
        <v>0.92502450355699462</v>
      </c>
      <c r="V63" s="2">
        <f t="shared" si="4"/>
        <v>0.30973610577003563</v>
      </c>
    </row>
    <row r="64" spans="1:22" x14ac:dyDescent="0.3">
      <c r="F64" s="4"/>
      <c r="T64" s="7">
        <v>54</v>
      </c>
      <c r="U64" s="2">
        <f t="shared" si="0"/>
        <v>0.94247779607693793</v>
      </c>
      <c r="V64" s="2">
        <f t="shared" si="4"/>
        <v>0.31415519971228678</v>
      </c>
    </row>
    <row r="65" spans="6:22" x14ac:dyDescent="0.3">
      <c r="F65" s="4"/>
      <c r="T65" s="7">
        <v>55</v>
      </c>
      <c r="U65" s="2">
        <f t="shared" si="0"/>
        <v>0.95993108859688125</v>
      </c>
      <c r="V65" s="2">
        <f t="shared" si="4"/>
        <v>0.31848445402240594</v>
      </c>
    </row>
    <row r="66" spans="6:22" x14ac:dyDescent="0.3">
      <c r="T66" s="7">
        <v>56</v>
      </c>
      <c r="U66" s="2">
        <f t="shared" si="0"/>
        <v>0.97738438111682457</v>
      </c>
      <c r="V66" s="2">
        <f t="shared" si="4"/>
        <v>0.32272166036736377</v>
      </c>
    </row>
    <row r="67" spans="6:22" x14ac:dyDescent="0.3">
      <c r="T67" s="7">
        <v>57</v>
      </c>
      <c r="U67" s="2">
        <f t="shared" si="0"/>
        <v>0.99483767363676778</v>
      </c>
      <c r="V67" s="2">
        <f t="shared" si="4"/>
        <v>0.32686462296119839</v>
      </c>
    </row>
    <row r="68" spans="6:22" x14ac:dyDescent="0.3">
      <c r="T68" s="7">
        <v>58</v>
      </c>
      <c r="U68" s="2">
        <f t="shared" si="0"/>
        <v>1.0122909661567112</v>
      </c>
      <c r="V68" s="2">
        <f t="shared" si="4"/>
        <v>0.33091116173210172</v>
      </c>
    </row>
    <row r="69" spans="6:22" x14ac:dyDescent="0.3">
      <c r="T69" s="7">
        <v>59</v>
      </c>
      <c r="U69" s="2">
        <f t="shared" si="0"/>
        <v>1.0297442586766543</v>
      </c>
      <c r="V69" s="2">
        <f t="shared" si="4"/>
        <v>0.3348591155346558</v>
      </c>
    </row>
    <row r="70" spans="6:22" x14ac:dyDescent="0.3">
      <c r="T70" s="7">
        <v>60</v>
      </c>
      <c r="U70" s="2">
        <f t="shared" si="0"/>
        <v>1.0471975511965976</v>
      </c>
      <c r="V70" s="2">
        <f t="shared" si="4"/>
        <v>0.33870634539904493</v>
      </c>
    </row>
    <row r="71" spans="6:22" x14ac:dyDescent="0.3">
      <c r="T71" s="7">
        <v>61</v>
      </c>
      <c r="U71" s="2">
        <f t="shared" si="0"/>
        <v>1.064650843716541</v>
      </c>
      <c r="V71" s="2">
        <f t="shared" si="4"/>
        <v>0.34245073780882407</v>
      </c>
    </row>
    <row r="72" spans="6:22" x14ac:dyDescent="0.3">
      <c r="T72" s="7">
        <v>62</v>
      </c>
      <c r="U72" s="2">
        <f t="shared" si="0"/>
        <v>1.0821041362364843</v>
      </c>
      <c r="V72" s="2">
        <f t="shared" si="4"/>
        <v>0.34609020799861578</v>
      </c>
    </row>
    <row r="73" spans="6:22" x14ac:dyDescent="0.3">
      <c r="T73" s="7">
        <v>63</v>
      </c>
      <c r="U73" s="2">
        <f t="shared" si="0"/>
        <v>1.0995574287564276</v>
      </c>
      <c r="V73" s="2">
        <f t="shared" si="4"/>
        <v>0.3496227032629215</v>
      </c>
    </row>
    <row r="74" spans="6:22" x14ac:dyDescent="0.3">
      <c r="T74" s="7">
        <v>64</v>
      </c>
      <c r="U74" s="2">
        <f t="shared" si="0"/>
        <v>1.1170107212763709</v>
      </c>
      <c r="V74" s="2">
        <f t="shared" si="4"/>
        <v>0.3530462062670689</v>
      </c>
    </row>
    <row r="75" spans="6:22" x14ac:dyDescent="0.3">
      <c r="T75" s="7">
        <v>65</v>
      </c>
      <c r="U75" s="2">
        <f t="shared" ref="U75:U100" si="5">T75*PI()/180</f>
        <v>1.1344640137963142</v>
      </c>
      <c r="V75" s="2">
        <f t="shared" ref="V75:V100" si="6">ABS((COS($G$21)-COS($G$21*COS(U75)))/SIN(U75))</f>
        <v>0.35635873835119453</v>
      </c>
    </row>
    <row r="76" spans="6:22" x14ac:dyDescent="0.3">
      <c r="T76" s="7">
        <v>66</v>
      </c>
      <c r="U76" s="2">
        <f t="shared" si="5"/>
        <v>1.1519173063162575</v>
      </c>
      <c r="V76" s="2">
        <f t="shared" si="6"/>
        <v>0.35955836281805681</v>
      </c>
    </row>
    <row r="77" spans="6:22" x14ac:dyDescent="0.3">
      <c r="T77" s="7">
        <v>67</v>
      </c>
      <c r="U77" s="2">
        <f t="shared" si="5"/>
        <v>1.1693705988362006</v>
      </c>
      <c r="V77" s="2">
        <f t="shared" si="6"/>
        <v>0.36264318819540758</v>
      </c>
    </row>
    <row r="78" spans="6:22" x14ac:dyDescent="0.3">
      <c r="T78" s="7">
        <v>68</v>
      </c>
      <c r="U78" s="2">
        <f t="shared" si="5"/>
        <v>1.1868238913561442</v>
      </c>
      <c r="V78" s="2">
        <f t="shared" si="6"/>
        <v>0.36561137146361733</v>
      </c>
    </row>
    <row r="79" spans="6:22" x14ac:dyDescent="0.3">
      <c r="T79" s="7">
        <v>69</v>
      </c>
      <c r="U79" s="2">
        <f t="shared" si="5"/>
        <v>1.2042771838760873</v>
      </c>
      <c r="V79" s="2">
        <f t="shared" si="6"/>
        <v>0.36846112123924413</v>
      </c>
    </row>
    <row r="80" spans="6:22" x14ac:dyDescent="0.3">
      <c r="T80" s="7">
        <v>70</v>
      </c>
      <c r="U80" s="2">
        <f t="shared" si="5"/>
        <v>1.2217304763960306</v>
      </c>
      <c r="V80" s="2">
        <f t="shared" si="6"/>
        <v>0.37119070090526851</v>
      </c>
    </row>
    <row r="81" spans="20:22" x14ac:dyDescent="0.3">
      <c r="T81" s="7">
        <v>71</v>
      </c>
      <c r="U81" s="2">
        <f t="shared" si="5"/>
        <v>1.2391837689159739</v>
      </c>
      <c r="V81" s="2">
        <f t="shared" si="6"/>
        <v>0.37379843167878385</v>
      </c>
    </row>
    <row r="82" spans="20:22" x14ac:dyDescent="0.3">
      <c r="T82" s="7">
        <v>72</v>
      </c>
      <c r="U82" s="2">
        <f t="shared" si="5"/>
        <v>1.2566370614359172</v>
      </c>
      <c r="V82" s="2">
        <f t="shared" si="6"/>
        <v>0.37628269560703009</v>
      </c>
    </row>
    <row r="83" spans="20:22" x14ac:dyDescent="0.3">
      <c r="T83" s="7">
        <v>73</v>
      </c>
      <c r="U83" s="2">
        <f t="shared" si="5"/>
        <v>1.2740903539558606</v>
      </c>
      <c r="V83" s="2">
        <f t="shared" si="6"/>
        <v>0.3786419384827942</v>
      </c>
    </row>
    <row r="84" spans="20:22" x14ac:dyDescent="0.3">
      <c r="T84" s="7">
        <v>74</v>
      </c>
      <c r="U84" s="2">
        <f t="shared" si="5"/>
        <v>1.2915436464758039</v>
      </c>
      <c r="V84" s="2">
        <f t="shared" si="6"/>
        <v>0.38087467267037206</v>
      </c>
    </row>
    <row r="85" spans="20:22" x14ac:dyDescent="0.3">
      <c r="T85" s="7">
        <v>75</v>
      </c>
      <c r="U85" s="2">
        <f t="shared" si="5"/>
        <v>1.3089969389957472</v>
      </c>
      <c r="V85" s="2">
        <f t="shared" si="6"/>
        <v>0.38297947983348674</v>
      </c>
    </row>
    <row r="86" spans="20:22" x14ac:dyDescent="0.3">
      <c r="T86" s="7">
        <v>76</v>
      </c>
      <c r="U86" s="2">
        <f t="shared" si="5"/>
        <v>1.3264502315156903</v>
      </c>
      <c r="V86" s="2">
        <f t="shared" si="6"/>
        <v>0.38495501355680112</v>
      </c>
    </row>
    <row r="87" spans="20:22" x14ac:dyDescent="0.3">
      <c r="T87" s="7">
        <v>77</v>
      </c>
      <c r="U87" s="2">
        <f t="shared" si="5"/>
        <v>1.3439035240356338</v>
      </c>
      <c r="V87" s="2">
        <f t="shared" si="6"/>
        <v>0.38680000185293034</v>
      </c>
    </row>
    <row r="88" spans="20:22" x14ac:dyDescent="0.3">
      <c r="T88" s="7">
        <v>78</v>
      </c>
      <c r="U88" s="2">
        <f t="shared" si="5"/>
        <v>1.3613568165555769</v>
      </c>
      <c r="V88" s="2">
        <f t="shared" si="6"/>
        <v>0.38851324954716632</v>
      </c>
    </row>
    <row r="89" spans="20:22" x14ac:dyDescent="0.3">
      <c r="T89" s="7">
        <v>79</v>
      </c>
      <c r="U89" s="2">
        <f t="shared" si="5"/>
        <v>1.3788101090755203</v>
      </c>
      <c r="V89" s="2">
        <f t="shared" si="6"/>
        <v>0.3900936405324622</v>
      </c>
    </row>
    <row r="90" spans="20:22" x14ac:dyDescent="0.3">
      <c r="T90" s="7">
        <v>80</v>
      </c>
      <c r="U90" s="2">
        <f t="shared" si="5"/>
        <v>1.3962634015954636</v>
      </c>
      <c r="V90" s="2">
        <f t="shared" si="6"/>
        <v>0.39154013988759029</v>
      </c>
    </row>
    <row r="91" spans="20:22" x14ac:dyDescent="0.3">
      <c r="T91" s="7">
        <v>81</v>
      </c>
      <c r="U91" s="2">
        <f t="shared" si="5"/>
        <v>1.4137166941154069</v>
      </c>
      <c r="V91" s="2">
        <f t="shared" si="6"/>
        <v>0.39285179585178603</v>
      </c>
    </row>
    <row r="92" spans="20:22" x14ac:dyDescent="0.3">
      <c r="T92" s="7">
        <v>82</v>
      </c>
      <c r="U92" s="2">
        <f t="shared" si="5"/>
        <v>1.43116998663535</v>
      </c>
      <c r="V92" s="2">
        <f t="shared" si="6"/>
        <v>0.39402774164961202</v>
      </c>
    </row>
    <row r="93" spans="20:22" x14ac:dyDescent="0.3">
      <c r="T93" s="7">
        <v>83</v>
      </c>
      <c r="U93" s="2">
        <f t="shared" si="5"/>
        <v>1.4486232791552935</v>
      </c>
      <c r="V93" s="2">
        <f t="shared" si="6"/>
        <v>0.39506719716022853</v>
      </c>
    </row>
    <row r="94" spans="20:22" x14ac:dyDescent="0.3">
      <c r="T94" s="7">
        <v>84</v>
      </c>
      <c r="U94" s="2">
        <f t="shared" si="5"/>
        <v>1.4660765716752369</v>
      </c>
      <c r="V94" s="2">
        <f t="shared" si="6"/>
        <v>0.39596947042573255</v>
      </c>
    </row>
    <row r="95" spans="20:22" x14ac:dyDescent="0.3">
      <c r="T95" s="7">
        <v>85</v>
      </c>
      <c r="U95" s="2">
        <f t="shared" si="5"/>
        <v>1.4835298641951802</v>
      </c>
      <c r="V95" s="2">
        <f t="shared" si="6"/>
        <v>0.39673395899372393</v>
      </c>
    </row>
    <row r="96" spans="20:22" x14ac:dyDescent="0.3">
      <c r="T96" s="7">
        <v>86</v>
      </c>
      <c r="U96" s="2">
        <f t="shared" si="5"/>
        <v>1.5009831567151233</v>
      </c>
      <c r="V96" s="2">
        <f t="shared" si="6"/>
        <v>0.39736015108977868</v>
      </c>
    </row>
    <row r="97" spans="20:22" x14ac:dyDescent="0.3">
      <c r="T97" s="7">
        <v>87</v>
      </c>
      <c r="U97" s="2">
        <f t="shared" si="5"/>
        <v>1.5184364492350666</v>
      </c>
      <c r="V97" s="2">
        <f t="shared" si="6"/>
        <v>0.39784762661604373</v>
      </c>
    </row>
    <row r="98" spans="20:22" x14ac:dyDescent="0.3">
      <c r="T98" s="7">
        <v>88</v>
      </c>
      <c r="U98" s="2">
        <f t="shared" si="5"/>
        <v>1.5358897417550099</v>
      </c>
      <c r="V98" s="2">
        <f t="shared" si="6"/>
        <v>0.39819605797272423</v>
      </c>
    </row>
    <row r="99" spans="20:22" x14ac:dyDescent="0.3">
      <c r="T99" s="7">
        <v>89</v>
      </c>
      <c r="U99" s="2">
        <f t="shared" si="5"/>
        <v>1.5533430342749535</v>
      </c>
      <c r="V99" s="2">
        <f t="shared" si="6"/>
        <v>0.39840521069980195</v>
      </c>
    </row>
    <row r="100" spans="20:22" x14ac:dyDescent="0.3">
      <c r="T100" s="7">
        <v>90</v>
      </c>
      <c r="U100" s="2">
        <f t="shared" si="5"/>
        <v>1.5707963267948966</v>
      </c>
      <c r="V100" s="2">
        <f t="shared" si="6"/>
        <v>0.39847494393690008</v>
      </c>
    </row>
  </sheetData>
  <mergeCells count="58">
    <mergeCell ref="C29:D32"/>
    <mergeCell ref="E24:F24"/>
    <mergeCell ref="E25:F25"/>
    <mergeCell ref="E26:F26"/>
    <mergeCell ref="E27:F27"/>
    <mergeCell ref="E29:F29"/>
    <mergeCell ref="E31:F31"/>
    <mergeCell ref="E32:F32"/>
    <mergeCell ref="E30:F30"/>
    <mergeCell ref="C52:D54"/>
    <mergeCell ref="C47:D50"/>
    <mergeCell ref="E47:F47"/>
    <mergeCell ref="E48:F48"/>
    <mergeCell ref="E49:F49"/>
    <mergeCell ref="E50:F50"/>
    <mergeCell ref="E52:F52"/>
    <mergeCell ref="E53:F53"/>
    <mergeCell ref="E34:F34"/>
    <mergeCell ref="A1:H2"/>
    <mergeCell ref="C28:E28"/>
    <mergeCell ref="A16:D22"/>
    <mergeCell ref="E16:F16"/>
    <mergeCell ref="E17:F17"/>
    <mergeCell ref="E18:F18"/>
    <mergeCell ref="E19:F19"/>
    <mergeCell ref="C6:C12"/>
    <mergeCell ref="C4:F4"/>
    <mergeCell ref="C14:F14"/>
    <mergeCell ref="D8:E11"/>
    <mergeCell ref="A4:B14"/>
    <mergeCell ref="E21:F21"/>
    <mergeCell ref="A24:B54"/>
    <mergeCell ref="E54:F54"/>
    <mergeCell ref="E22:F22"/>
    <mergeCell ref="C24:D27"/>
    <mergeCell ref="K4:N4"/>
    <mergeCell ref="O4:R4"/>
    <mergeCell ref="D6:E6"/>
    <mergeCell ref="D12:F12"/>
    <mergeCell ref="E20:F20"/>
    <mergeCell ref="K8:N10"/>
    <mergeCell ref="K22:L22"/>
    <mergeCell ref="J53:M53"/>
    <mergeCell ref="E43:F43"/>
    <mergeCell ref="E44:F44"/>
    <mergeCell ref="C33:D44"/>
    <mergeCell ref="E38:F38"/>
    <mergeCell ref="E39:F39"/>
    <mergeCell ref="E40:F40"/>
    <mergeCell ref="E41:F41"/>
    <mergeCell ref="E42:F42"/>
    <mergeCell ref="E45:F45"/>
    <mergeCell ref="E46:F46"/>
    <mergeCell ref="C45:D46"/>
    <mergeCell ref="E35:F35"/>
    <mergeCell ref="E36:F36"/>
    <mergeCell ref="E37:F37"/>
    <mergeCell ref="E33:F33"/>
  </mergeCells>
  <pageMargins left="0.25" right="0.25" top="0.75" bottom="0.75" header="0.3" footer="0.3"/>
  <pageSetup paperSize="9" scale="92" orientation="landscape" horizontalDpi="0" verticalDpi="0" r:id="rId1"/>
  <rowBreaks count="1" manualBreakCount="1">
    <brk id="38" max="16383" man="1"/>
  </rowBreaks>
  <colBreaks count="2" manualBreakCount="2">
    <brk id="9" max="1048575" man="1"/>
    <brk id="19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cols>
    <col min="3" max="3" width="13.36328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Armando1941</dc:creator>
  <cp:lastModifiedBy>Usuario de Windows</cp:lastModifiedBy>
  <dcterms:created xsi:type="dcterms:W3CDTF">2018-03-12T17:05:33Z</dcterms:created>
  <dcterms:modified xsi:type="dcterms:W3CDTF">2026-08-28T23:47:23Z</dcterms:modified>
</cp:coreProperties>
</file>