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s Documentos\ANTENAS\Apuntes antenas\Calculadores\"/>
    </mc:Choice>
  </mc:AlternateContent>
  <xr:revisionPtr revIDLastSave="0" documentId="13_ncr:1_{62846B2B-50E2-425C-9F03-F15830A5B0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T4" i="1" l="1"/>
  <c r="T6" i="1"/>
  <c r="T8" i="1"/>
  <c r="T9" i="1"/>
  <c r="T10" i="1"/>
  <c r="T11" i="1"/>
  <c r="T12" i="1"/>
  <c r="T14" i="1"/>
  <c r="T16" i="1"/>
  <c r="T17" i="1"/>
  <c r="T18" i="1"/>
  <c r="T19" i="1"/>
  <c r="T20" i="1"/>
  <c r="T21" i="1"/>
  <c r="T22" i="1"/>
  <c r="T24" i="1"/>
  <c r="T25" i="1"/>
  <c r="T26" i="1"/>
  <c r="T27" i="1"/>
  <c r="T28" i="1"/>
  <c r="T31" i="1"/>
  <c r="T32" i="1"/>
  <c r="T33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3" i="1"/>
  <c r="G11" i="1" l="1"/>
  <c r="G10" i="1"/>
  <c r="G14" i="1" s="1"/>
  <c r="G12" i="1" l="1"/>
  <c r="G13" i="1" s="1"/>
  <c r="G16" i="1"/>
  <c r="G15" i="1" l="1"/>
  <c r="U27" i="1" s="1"/>
  <c r="I6" i="1"/>
  <c r="J6" i="1"/>
  <c r="J9" i="1"/>
  <c r="M9" i="1" s="1"/>
  <c r="U67" i="1" l="1"/>
  <c r="U11" i="1"/>
  <c r="U43" i="1"/>
  <c r="U6" i="1"/>
  <c r="U82" i="1"/>
  <c r="U78" i="1"/>
  <c r="U58" i="1"/>
  <c r="U91" i="1"/>
  <c r="U54" i="1"/>
  <c r="U63" i="1"/>
  <c r="U39" i="1"/>
  <c r="U3" i="1"/>
  <c r="U87" i="1"/>
  <c r="U31" i="1"/>
  <c r="U77" i="1"/>
  <c r="U25" i="1"/>
  <c r="U83" i="1"/>
  <c r="U59" i="1"/>
  <c r="U32" i="1"/>
  <c r="U98" i="1"/>
  <c r="U74" i="1"/>
  <c r="U50" i="1"/>
  <c r="U20" i="1"/>
  <c r="U85" i="1"/>
  <c r="U61" i="1"/>
  <c r="U37" i="1"/>
  <c r="U100" i="1"/>
  <c r="U76" i="1"/>
  <c r="U52" i="1"/>
  <c r="U22" i="1"/>
  <c r="U81" i="1"/>
  <c r="U57" i="1"/>
  <c r="U28" i="1"/>
  <c r="U96" i="1"/>
  <c r="U72" i="1"/>
  <c r="U48" i="1"/>
  <c r="U18" i="1"/>
  <c r="U79" i="1"/>
  <c r="U55" i="1"/>
  <c r="U26" i="1"/>
  <c r="U94" i="1"/>
  <c r="U70" i="1"/>
  <c r="U46" i="1"/>
  <c r="U16" i="1"/>
  <c r="U24" i="1"/>
  <c r="U92" i="1"/>
  <c r="U44" i="1"/>
  <c r="U99" i="1"/>
  <c r="U51" i="1"/>
  <c r="U90" i="1"/>
  <c r="U42" i="1"/>
  <c r="U10" i="1"/>
  <c r="U97" i="1"/>
  <c r="U73" i="1"/>
  <c r="U49" i="1"/>
  <c r="U19" i="1"/>
  <c r="U88" i="1"/>
  <c r="U64" i="1"/>
  <c r="U40" i="1"/>
  <c r="U8" i="1"/>
  <c r="U53" i="1"/>
  <c r="U68" i="1"/>
  <c r="U12" i="1"/>
  <c r="U75" i="1"/>
  <c r="U21" i="1"/>
  <c r="U66" i="1"/>
  <c r="U95" i="1"/>
  <c r="U71" i="1"/>
  <c r="U47" i="1"/>
  <c r="U17" i="1"/>
  <c r="U86" i="1"/>
  <c r="U62" i="1"/>
  <c r="U38" i="1"/>
  <c r="U4" i="1"/>
  <c r="U93" i="1"/>
  <c r="U69" i="1"/>
  <c r="U45" i="1"/>
  <c r="U14" i="1"/>
  <c r="U84" i="1"/>
  <c r="U60" i="1"/>
  <c r="U33" i="1"/>
  <c r="J11" i="1"/>
  <c r="U89" i="1"/>
  <c r="U65" i="1"/>
  <c r="U41" i="1"/>
  <c r="U9" i="1"/>
  <c r="U80" i="1"/>
  <c r="U56" i="1"/>
  <c r="N6" i="1"/>
  <c r="Q6" i="1" s="1"/>
  <c r="P6" i="1" s="1"/>
  <c r="O6" i="1"/>
  <c r="K6" i="1"/>
  <c r="J7" i="1" s="1"/>
  <c r="M7" i="1" s="1"/>
  <c r="M6" i="1"/>
  <c r="L6" i="1" s="1"/>
  <c r="V3" i="1" l="1"/>
  <c r="R10" i="1"/>
  <c r="G19" i="1" s="1"/>
  <c r="G21" i="1" s="1"/>
  <c r="R6" i="1"/>
  <c r="G18" i="1" s="1"/>
  <c r="G27" i="1" l="1"/>
  <c r="G30" i="1" s="1"/>
  <c r="G22" i="1"/>
  <c r="G26" i="1" s="1"/>
  <c r="G24" i="1" s="1"/>
  <c r="G20" i="1"/>
  <c r="G29" i="1" l="1"/>
  <c r="G28" i="1"/>
  <c r="G25" i="1"/>
  <c r="G23" i="1" s="1"/>
</calcChain>
</file>

<file path=xl/sharedStrings.xml><?xml version="1.0" encoding="utf-8"?>
<sst xmlns="http://schemas.openxmlformats.org/spreadsheetml/2006/main" count="76" uniqueCount="62">
  <si>
    <t>b</t>
  </si>
  <si>
    <t>2b</t>
  </si>
  <si>
    <t>FRECUENCIA (MHz)</t>
  </si>
  <si>
    <t>Longitud de onda (λ)</t>
  </si>
  <si>
    <t>Longitud Electrica (H)</t>
  </si>
  <si>
    <t>R. Radiación en el vientre de corriente</t>
  </si>
  <si>
    <t>Xv (fem)</t>
  </si>
  <si>
    <t>Reactancia en el vientre de corriente</t>
  </si>
  <si>
    <t>Impedancia característica (Zo)</t>
  </si>
  <si>
    <t>Reactancia de entrada en la base</t>
  </si>
  <si>
    <t>Resistencia de entrada en la base</t>
  </si>
  <si>
    <t>Resistencia entrada en la base</t>
  </si>
  <si>
    <t>Reactancia entrada en la base</t>
  </si>
  <si>
    <t>Resistencia en el vientre de corriente</t>
  </si>
  <si>
    <t>T</t>
  </si>
  <si>
    <t>Ganancia directiva</t>
  </si>
  <si>
    <t>Fraccion de longitud de onda (H/λ)</t>
  </si>
  <si>
    <t>Coeficiente de fase (β)</t>
  </si>
  <si>
    <t>Longitud angular (βH)</t>
  </si>
  <si>
    <t>Atenuación radiador (2αH)</t>
  </si>
  <si>
    <t>m</t>
  </si>
  <si>
    <t>λ</t>
  </si>
  <si>
    <t>Rad</t>
  </si>
  <si>
    <t>Ω</t>
  </si>
  <si>
    <t>Neper</t>
  </si>
  <si>
    <t xml:space="preserve">Area efectiva </t>
  </si>
  <si>
    <t>Grad</t>
  </si>
  <si>
    <t>Fo</t>
  </si>
  <si>
    <t>Máximo Fo</t>
  </si>
  <si>
    <t>ENTRADA DE DATOS</t>
  </si>
  <si>
    <t>RESULTADOS</t>
  </si>
  <si>
    <t>CALCULOS INTERMEDIOS</t>
  </si>
  <si>
    <t>Valor absoluto (respecto a isotropico)</t>
  </si>
  <si>
    <t xml:space="preserve">Valor en dB respecto a isotrópico </t>
  </si>
  <si>
    <t>dBi</t>
  </si>
  <si>
    <t>Valor en dB respecto a patrón dipolo</t>
  </si>
  <si>
    <t>dBd</t>
  </si>
  <si>
    <r>
      <t>m</t>
    </r>
    <r>
      <rPr>
        <vertAlign val="superscript"/>
        <sz val="11"/>
        <color rgb="FFFF0000"/>
        <rFont val="Arial"/>
        <family val="2"/>
      </rPr>
      <t>2</t>
    </r>
  </si>
  <si>
    <t>Resistencia de Radiación por el método del vector de Pointing o de la FEM inducida (opc 1)</t>
  </si>
  <si>
    <t>Resistencia de Radiación como Linea de Transmisión abierta      (opc 2)</t>
  </si>
  <si>
    <t>2T</t>
  </si>
  <si>
    <t>SI(2T)</t>
  </si>
  <si>
    <t>S1(2T)</t>
  </si>
  <si>
    <t>Cin(2T)</t>
  </si>
  <si>
    <t>Cin</t>
  </si>
  <si>
    <t>Ci</t>
  </si>
  <si>
    <t>Si</t>
  </si>
  <si>
    <t>Jordan(611,614)</t>
  </si>
  <si>
    <t>Diag. Radiac</t>
  </si>
  <si>
    <t>Kl (b)</t>
  </si>
  <si>
    <t>2Kl (2b)</t>
  </si>
  <si>
    <t>Ci(T)</t>
  </si>
  <si>
    <t>Cin (T)</t>
  </si>
  <si>
    <t>Si(T)</t>
  </si>
  <si>
    <t>Longitud de una rama (m)</t>
  </si>
  <si>
    <t>RADIO (m)</t>
  </si>
  <si>
    <t>PARAMETROS PRINCIPALES DE UN DIPOLO</t>
  </si>
  <si>
    <t>rad/m</t>
  </si>
  <si>
    <t>rad</t>
  </si>
  <si>
    <t>---</t>
  </si>
  <si>
    <r>
      <t>H/</t>
    </r>
    <r>
      <rPr>
        <sz val="11"/>
        <color theme="0" tint="-0.249977111117893"/>
        <rFont val="Symbol"/>
        <family val="1"/>
        <charset val="2"/>
      </rPr>
      <t>l</t>
    </r>
  </si>
  <si>
    <r>
      <t>Longitud fisica (H</t>
    </r>
    <r>
      <rPr>
        <vertAlign val="subscript"/>
        <sz val="11"/>
        <color theme="0" tint="-0.249977111117893"/>
        <rFont val="Arial"/>
        <family val="2"/>
      </rPr>
      <t>0</t>
    </r>
    <r>
      <rPr>
        <sz val="11"/>
        <color theme="0" tint="-0.249977111117893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</si>
</sst>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2" tint="-0.249977111117893"/>
      <name val="Arial"/>
      <family val="2"/>
    </font>
    <font>
      <b/>
      <sz val="11"/>
      <color rgb="FFFFFF00"/>
      <name val="Arial"/>
      <family val="2"/>
    </font>
    <font>
      <sz val="11"/>
      <color theme="2" tint="-0.499984740745262"/>
      <name val="Arial"/>
      <family val="2"/>
    </font>
    <font>
      <b/>
      <sz val="11"/>
      <color theme="2" tint="-0.249977111117893"/>
      <name val="Arial"/>
      <family val="2"/>
    </font>
    <font>
      <b/>
      <sz val="14"/>
      <color theme="0"/>
      <name val="Arial"/>
      <family val="2"/>
    </font>
    <font>
      <vertAlign val="superscript"/>
      <sz val="11"/>
      <color rgb="FFFF0000"/>
      <name val="Arial"/>
      <family val="2"/>
    </font>
    <font>
      <sz val="14"/>
      <color theme="1"/>
      <name val="Arial"/>
      <family val="2"/>
    </font>
    <font>
      <b/>
      <sz val="11"/>
      <color theme="0" tint="-0.249977111117893"/>
      <name val="Arial"/>
      <family val="2"/>
    </font>
    <font>
      <sz val="11"/>
      <color theme="0" tint="-0.34998626667073579"/>
      <name val="Arial"/>
      <family val="2"/>
    </font>
    <font>
      <sz val="11"/>
      <color theme="2" tint="-0.249977111117893"/>
      <name val="Calibri"/>
      <family val="2"/>
    </font>
    <font>
      <sz val="11"/>
      <color theme="0" tint="-0.249977111117893"/>
      <name val="Arial"/>
      <family val="2"/>
    </font>
    <font>
      <sz val="11"/>
      <color theme="0" tint="-0.249977111117893"/>
      <name val="Symbol"/>
      <family val="1"/>
      <charset val="2"/>
    </font>
    <font>
      <sz val="11"/>
      <color rgb="FFFF0000"/>
      <name val="Calibri"/>
      <family val="2"/>
    </font>
    <font>
      <vertAlign val="subscript"/>
      <sz val="11"/>
      <color theme="0" tint="-0.249977111117893"/>
      <name val="Arial"/>
      <family val="2"/>
    </font>
    <font>
      <sz val="11"/>
      <color theme="0" tint="-0.249977111117893"/>
      <name val="Cambria"/>
      <family val="1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0A907"/>
        <bgColor indexed="64"/>
      </patternFill>
    </fill>
    <fill>
      <patternFill patternType="solid">
        <fgColor theme="7" tint="-0.2499465926084170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/>
    <xf numFmtId="0" fontId="3" fillId="0" borderId="14" xfId="0" applyFont="1" applyBorder="1"/>
    <xf numFmtId="0" fontId="5" fillId="0" borderId="0" xfId="0" applyFont="1" applyAlignment="1">
      <alignment horizontal="right"/>
    </xf>
    <xf numFmtId="2" fontId="5" fillId="0" borderId="0" xfId="0" applyNumberFormat="1" applyFont="1"/>
    <xf numFmtId="0" fontId="5" fillId="0" borderId="0" xfId="0" applyFont="1" applyBorder="1" applyProtection="1">
      <protection hidden="1"/>
    </xf>
    <xf numFmtId="0" fontId="5" fillId="0" borderId="0" xfId="0" applyFon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2" xfId="0" applyFont="1" applyBorder="1"/>
    <xf numFmtId="0" fontId="3" fillId="0" borderId="2" xfId="0" applyFont="1" applyFill="1" applyBorder="1" applyAlignment="1">
      <alignment horizontal="right"/>
    </xf>
    <xf numFmtId="0" fontId="2" fillId="0" borderId="2" xfId="0" applyFont="1" applyFill="1" applyBorder="1" applyAlignment="1" applyProtection="1">
      <alignment horizontal="right"/>
      <protection locked="0" hidden="1"/>
    </xf>
    <xf numFmtId="2" fontId="2" fillId="0" borderId="2" xfId="0" applyNumberFormat="1" applyFont="1" applyFill="1" applyBorder="1" applyProtection="1">
      <protection locked="0" hidden="1"/>
    </xf>
    <xf numFmtId="0" fontId="5" fillId="0" borderId="17" xfId="0" applyFont="1" applyBorder="1"/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/>
    </xf>
    <xf numFmtId="0" fontId="6" fillId="0" borderId="6" xfId="0" applyFont="1" applyBorder="1"/>
    <xf numFmtId="0" fontId="5" fillId="0" borderId="17" xfId="0" applyFont="1" applyBorder="1" applyAlignment="1">
      <alignment horizontal="right"/>
    </xf>
    <xf numFmtId="0" fontId="6" fillId="0" borderId="0" xfId="0" applyFont="1" applyFill="1" applyBorder="1" applyAlignment="1" applyProtection="1">
      <protection locked="0" hidden="1"/>
    </xf>
    <xf numFmtId="0" fontId="12" fillId="0" borderId="0" xfId="0" applyFont="1"/>
    <xf numFmtId="164" fontId="3" fillId="0" borderId="8" xfId="0" applyNumberFormat="1" applyFont="1" applyBorder="1" applyProtection="1">
      <protection locked="0" hidden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2" fontId="14" fillId="0" borderId="29" xfId="0" applyNumberFormat="1" applyFont="1" applyBorder="1"/>
    <xf numFmtId="2" fontId="14" fillId="0" borderId="26" xfId="0" applyNumberFormat="1" applyFont="1" applyBorder="1"/>
    <xf numFmtId="2" fontId="14" fillId="0" borderId="31" xfId="0" applyNumberFormat="1" applyFont="1" applyBorder="1"/>
    <xf numFmtId="2" fontId="6" fillId="0" borderId="47" xfId="0" applyNumberFormat="1" applyFont="1" applyBorder="1"/>
    <xf numFmtId="2" fontId="6" fillId="0" borderId="2" xfId="0" applyNumberFormat="1" applyFont="1" applyBorder="1"/>
    <xf numFmtId="2" fontId="4" fillId="0" borderId="48" xfId="0" applyNumberFormat="1" applyFont="1" applyBorder="1"/>
    <xf numFmtId="2" fontId="4" fillId="0" borderId="29" xfId="0" applyNumberFormat="1" applyFont="1" applyBorder="1"/>
    <xf numFmtId="2" fontId="4" fillId="0" borderId="26" xfId="0" applyNumberFormat="1" applyFont="1" applyBorder="1"/>
    <xf numFmtId="2" fontId="4" fillId="0" borderId="49" xfId="0" applyNumberFormat="1" applyFont="1" applyBorder="1"/>
    <xf numFmtId="0" fontId="4" fillId="0" borderId="46" xfId="0" applyFont="1" applyBorder="1"/>
    <xf numFmtId="0" fontId="4" fillId="0" borderId="45" xfId="0" applyFont="1" applyBorder="1"/>
    <xf numFmtId="0" fontId="6" fillId="0" borderId="27" xfId="0" applyFont="1" applyBorder="1"/>
    <xf numFmtId="0" fontId="15" fillId="0" borderId="4" xfId="0" applyFont="1" applyBorder="1"/>
    <xf numFmtId="0" fontId="4" fillId="0" borderId="50" xfId="0" quotePrefix="1" applyFont="1" applyBorder="1" applyAlignment="1">
      <alignment horizontal="center"/>
    </xf>
    <xf numFmtId="0" fontId="16" fillId="0" borderId="0" xfId="0" applyFont="1" applyFill="1"/>
    <xf numFmtId="0" fontId="16" fillId="0" borderId="25" xfId="0" applyFont="1" applyFill="1" applyBorder="1" applyAlignment="1"/>
    <xf numFmtId="0" fontId="16" fillId="0" borderId="4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2" fontId="16" fillId="0" borderId="33" xfId="0" applyNumberFormat="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2" fontId="16" fillId="0" borderId="0" xfId="0" applyNumberFormat="1" applyFont="1" applyFill="1"/>
    <xf numFmtId="0" fontId="16" fillId="0" borderId="0" xfId="0" applyFont="1" applyFill="1" applyAlignment="1">
      <alignment horizontal="right"/>
    </xf>
    <xf numFmtId="0" fontId="16" fillId="0" borderId="12" xfId="0" applyFont="1" applyFill="1" applyBorder="1"/>
    <xf numFmtId="0" fontId="16" fillId="0" borderId="13" xfId="0" applyFont="1" applyFill="1" applyBorder="1"/>
    <xf numFmtId="0" fontId="16" fillId="0" borderId="13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3" fillId="0" borderId="17" xfId="0" applyFont="1" applyFill="1" applyBorder="1" applyAlignment="1" applyProtection="1">
      <protection locked="0" hidden="1"/>
    </xf>
    <xf numFmtId="2" fontId="16" fillId="0" borderId="17" xfId="0" applyNumberFormat="1" applyFont="1" applyFill="1" applyBorder="1" applyProtection="1">
      <protection locked="0" hidden="1"/>
    </xf>
    <xf numFmtId="0" fontId="16" fillId="0" borderId="18" xfId="0" applyFont="1" applyFill="1" applyBorder="1"/>
    <xf numFmtId="2" fontId="13" fillId="0" borderId="33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6" xfId="0" applyFont="1" applyFill="1" applyBorder="1"/>
    <xf numFmtId="0" fontId="16" fillId="0" borderId="19" xfId="0" applyFont="1" applyFill="1" applyBorder="1"/>
    <xf numFmtId="0" fontId="16" fillId="0" borderId="45" xfId="0" applyFont="1" applyFill="1" applyBorder="1"/>
    <xf numFmtId="0" fontId="16" fillId="0" borderId="17" xfId="0" applyFont="1" applyFill="1" applyBorder="1"/>
    <xf numFmtId="0" fontId="16" fillId="0" borderId="5" xfId="0" applyFont="1" applyBorder="1" applyAlignment="1">
      <alignment horizontal="center"/>
    </xf>
    <xf numFmtId="0" fontId="16" fillId="0" borderId="5" xfId="0" applyFont="1" applyFill="1" applyBorder="1" applyAlignment="1">
      <alignment horizontal="right"/>
    </xf>
    <xf numFmtId="0" fontId="16" fillId="0" borderId="5" xfId="0" applyFont="1" applyBorder="1"/>
    <xf numFmtId="0" fontId="16" fillId="0" borderId="5" xfId="0" applyFont="1" applyBorder="1" applyProtection="1">
      <protection hidden="1"/>
    </xf>
    <xf numFmtId="0" fontId="15" fillId="0" borderId="46" xfId="0" applyFont="1" applyFill="1" applyBorder="1"/>
    <xf numFmtId="0" fontId="18" fillId="0" borderId="4" xfId="0" applyFont="1" applyBorder="1"/>
    <xf numFmtId="0" fontId="16" fillId="0" borderId="2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3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5" fillId="0" borderId="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right"/>
      <protection locked="0" hidden="1"/>
    </xf>
    <xf numFmtId="0" fontId="3" fillId="3" borderId="2" xfId="0" applyFont="1" applyFill="1" applyBorder="1" applyAlignment="1" applyProtection="1">
      <alignment horizontal="right"/>
      <protection locked="0" hidden="1"/>
    </xf>
    <xf numFmtId="0" fontId="3" fillId="3" borderId="7" xfId="0" applyFont="1" applyFill="1" applyBorder="1" applyAlignment="1" applyProtection="1">
      <alignment horizontal="right"/>
      <protection locked="0" hidden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14" fillId="0" borderId="6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5" fillId="0" borderId="42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13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36" xfId="0" applyFont="1" applyBorder="1" applyAlignment="1">
      <alignment horizontal="right"/>
    </xf>
    <xf numFmtId="0" fontId="16" fillId="0" borderId="28" xfId="0" applyFont="1" applyBorder="1" applyAlignment="1">
      <alignment horizontal="right"/>
    </xf>
    <xf numFmtId="2" fontId="16" fillId="0" borderId="34" xfId="0" applyNumberFormat="1" applyFont="1" applyBorder="1"/>
    <xf numFmtId="0" fontId="16" fillId="0" borderId="4" xfId="0" applyFont="1" applyBorder="1"/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6" fillId="0" borderId="24" xfId="0" applyFont="1" applyBorder="1" applyAlignment="1">
      <alignment horizontal="right"/>
    </xf>
    <xf numFmtId="0" fontId="16" fillId="0" borderId="23" xfId="0" applyFont="1" applyBorder="1" applyAlignment="1">
      <alignment horizontal="right"/>
    </xf>
    <xf numFmtId="2" fontId="16" fillId="0" borderId="33" xfId="0" applyNumberFormat="1" applyFont="1" applyBorder="1"/>
    <xf numFmtId="0" fontId="16" fillId="0" borderId="46" xfId="0" applyFont="1" applyBorder="1"/>
    <xf numFmtId="0" fontId="20" fillId="0" borderId="46" xfId="0" applyFont="1" applyBorder="1"/>
    <xf numFmtId="0" fontId="16" fillId="0" borderId="24" xfId="0" applyFont="1" applyBorder="1" applyAlignment="1" applyProtection="1">
      <alignment horizontal="right"/>
      <protection hidden="1"/>
    </xf>
    <xf numFmtId="0" fontId="16" fillId="0" borderId="23" xfId="0" applyFont="1" applyBorder="1" applyAlignment="1" applyProtection="1">
      <alignment horizontal="right"/>
      <protection hidden="1"/>
    </xf>
    <xf numFmtId="2" fontId="16" fillId="0" borderId="33" xfId="0" applyNumberFormat="1" applyFont="1" applyBorder="1" applyProtection="1">
      <protection hidden="1"/>
    </xf>
    <xf numFmtId="0" fontId="16" fillId="0" borderId="46" xfId="0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6" fillId="0" borderId="37" xfId="0" applyFont="1" applyBorder="1" applyAlignment="1">
      <alignment horizontal="right"/>
    </xf>
    <xf numFmtId="0" fontId="16" fillId="0" borderId="30" xfId="0" applyFont="1" applyBorder="1" applyAlignment="1">
      <alignment horizontal="right"/>
    </xf>
    <xf numFmtId="2" fontId="16" fillId="0" borderId="35" xfId="0" applyNumberFormat="1" applyFont="1" applyBorder="1"/>
    <xf numFmtId="0" fontId="21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0A90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44"/>
  <sheetViews>
    <sheetView showGridLines="0" tabSelected="1" topLeftCell="H1" zoomScaleNormal="100" workbookViewId="0">
      <selection activeCell="R4" sqref="R4"/>
    </sheetView>
  </sheetViews>
  <sheetFormatPr baseColWidth="10" defaultRowHeight="13.8" x14ac:dyDescent="0.25"/>
  <cols>
    <col min="1" max="2" width="11.5546875" style="1"/>
    <col min="3" max="3" width="12" style="1" customWidth="1"/>
    <col min="4" max="4" width="11.88671875" style="1" customWidth="1"/>
    <col min="5" max="5" width="7.77734375" style="1" customWidth="1"/>
    <col min="6" max="6" width="29" style="1" customWidth="1"/>
    <col min="7" max="7" width="10.77734375" style="1" customWidth="1"/>
    <col min="8" max="8" width="6.6640625" style="1" customWidth="1"/>
    <col min="9" max="9" width="11.77734375" style="1" customWidth="1"/>
    <col min="10" max="10" width="13.5546875" style="1" customWidth="1"/>
    <col min="11" max="17" width="11.77734375" style="1" customWidth="1"/>
    <col min="18" max="18" width="15.5546875" style="1" customWidth="1"/>
    <col min="19" max="19" width="11.77734375" style="8" customWidth="1"/>
    <col min="20" max="20" width="11.77734375" style="1" customWidth="1"/>
    <col min="21" max="22" width="11.5546875" style="1" customWidth="1"/>
    <col min="23" max="16384" width="11.5546875" style="1"/>
  </cols>
  <sheetData>
    <row r="1" spans="1:26" x14ac:dyDescent="0.25">
      <c r="A1" s="84" t="s">
        <v>56</v>
      </c>
      <c r="B1" s="85"/>
      <c r="C1" s="85"/>
      <c r="D1" s="85"/>
      <c r="E1" s="85"/>
      <c r="F1" s="85"/>
      <c r="G1" s="85"/>
      <c r="H1" s="86"/>
    </row>
    <row r="2" spans="1:26" ht="12" customHeight="1" thickBot="1" x14ac:dyDescent="0.3">
      <c r="A2" s="87"/>
      <c r="B2" s="88"/>
      <c r="C2" s="88"/>
      <c r="D2" s="88"/>
      <c r="E2" s="88"/>
      <c r="F2" s="88"/>
      <c r="G2" s="88"/>
      <c r="H2" s="89"/>
      <c r="S2" s="44" t="s">
        <v>26</v>
      </c>
      <c r="T2" s="75" t="s">
        <v>22</v>
      </c>
      <c r="U2" s="75" t="s">
        <v>27</v>
      </c>
      <c r="V2" s="75" t="s">
        <v>28</v>
      </c>
    </row>
    <row r="3" spans="1:26" ht="13.8" customHeight="1" thickBot="1" x14ac:dyDescent="0.3">
      <c r="S3" s="76">
        <v>0.28599999999999998</v>
      </c>
      <c r="T3" s="77">
        <f>S3*PI()/180</f>
        <v>4.9916416607037823E-3</v>
      </c>
      <c r="U3" s="77">
        <f>ABS((COS($G$15)-COS($G$15*COS(T3)))/SIN(T3))</f>
        <v>3.8477813073724081E-3</v>
      </c>
      <c r="V3" s="77">
        <f>MAX(U3:U100)</f>
        <v>0.9715200780524309</v>
      </c>
    </row>
    <row r="4" spans="1:26" ht="16.2" customHeight="1" thickBot="1" x14ac:dyDescent="0.3">
      <c r="A4" s="110" t="s">
        <v>29</v>
      </c>
      <c r="B4" s="111"/>
      <c r="C4" s="98" t="s">
        <v>54</v>
      </c>
      <c r="D4" s="98"/>
      <c r="E4" s="98"/>
      <c r="F4" s="99"/>
      <c r="G4" s="2">
        <v>5</v>
      </c>
      <c r="I4" s="41"/>
      <c r="J4" s="81" t="s">
        <v>0</v>
      </c>
      <c r="K4" s="82"/>
      <c r="L4" s="82"/>
      <c r="M4" s="83"/>
      <c r="N4" s="81" t="s">
        <v>1</v>
      </c>
      <c r="O4" s="82"/>
      <c r="P4" s="82"/>
      <c r="Q4" s="83"/>
      <c r="R4" s="42" t="s">
        <v>47</v>
      </c>
      <c r="S4" s="76">
        <v>1</v>
      </c>
      <c r="T4" s="77">
        <f t="shared" ref="T4:T74" si="0">S4*PI()/180</f>
        <v>1.7453292519943295E-2</v>
      </c>
      <c r="U4" s="77">
        <f>ABS((COS($G$15)-COS($G$15*COS(T4)))/SIN(T4))</f>
        <v>1.3454052928716905E-2</v>
      </c>
      <c r="V4" s="77"/>
    </row>
    <row r="5" spans="1:26" ht="14.4" customHeight="1" thickBot="1" x14ac:dyDescent="0.3">
      <c r="A5" s="112"/>
      <c r="B5" s="113"/>
      <c r="C5" s="10"/>
      <c r="D5" s="10"/>
      <c r="E5" s="10"/>
      <c r="F5" s="10"/>
      <c r="G5" s="9"/>
      <c r="I5" s="41"/>
      <c r="J5" s="43" t="s">
        <v>49</v>
      </c>
      <c r="K5" s="44" t="s">
        <v>46</v>
      </c>
      <c r="L5" s="44" t="s">
        <v>44</v>
      </c>
      <c r="M5" s="44" t="s">
        <v>45</v>
      </c>
      <c r="N5" s="44" t="s">
        <v>50</v>
      </c>
      <c r="O5" s="44" t="s">
        <v>46</v>
      </c>
      <c r="P5" s="44" t="s">
        <v>44</v>
      </c>
      <c r="Q5" s="45" t="s">
        <v>45</v>
      </c>
      <c r="R5" s="42"/>
      <c r="S5" s="76"/>
      <c r="T5" s="77"/>
      <c r="U5" s="77"/>
      <c r="V5" s="77"/>
    </row>
    <row r="6" spans="1:26" ht="14.4" customHeight="1" thickBot="1" x14ac:dyDescent="0.3">
      <c r="A6" s="112"/>
      <c r="B6" s="113"/>
      <c r="C6" s="116" t="s">
        <v>55</v>
      </c>
      <c r="D6" s="117"/>
      <c r="E6" s="117"/>
      <c r="F6" s="118"/>
      <c r="G6" s="22">
        <v>6.9999999999999999E-4</v>
      </c>
      <c r="I6" s="41">
        <f>G13</f>
        <v>0.24546666666666667</v>
      </c>
      <c r="J6" s="46">
        <f>4*PI()*G13</f>
        <v>3.0846251068046984</v>
      </c>
      <c r="K6" s="47">
        <f>J6-J6^3/3/FACT(3)+J6^5/5/FACT(5)-J6^7/7/FACT(7)+J6^9/9/FACT(9)-J6^11/11/FACT(11)+J6^13/13/FACT(13)-J6^15/15/FACT(15)+J6^17/17/FACT(17)-J6^19/19/FACT(19)+J6^21/21/FACT(21)-J6^23/23/FACT(23)+J6^25/25/FACT(25)-J6^27/27/FACT(27)+J6^29/29/FACT(29)-J6^31/31/FACT(31)+J6^33/33/FACT(33)-J6^35/35/FACT(35)+J6^37/37/FACT(37)-J6^39/39/FACT(39)+J6^41/41/FACT(41)-J6^43/43/FACT(43)+J6^45/45/FACT(45)-J6^47/47/FACT(47)+J6^49/49/FACT(49)-J6^51/51/FACT(51)+J6^53/53/FACT(53)-J6^55/55/FACT(55)+J6^57/57/FACT(57)-J6^59/59/FACT(59)+J6^61/61/FACT(61)-J6^63/63/FACT(63)+J6^65/65/FACT(65)-J6^67/67/FACT(67)+J6^69/69/FACT(69)-J6^71/71/FACT(71)+J6^73/73/FACT(73)-J6^75/75/FACT(75)+J6^77/77/FACT(77)-J6^79/79/FACT(79)+J6^81/81/FACT(81)-J6^83/83/FACT(83)+J6^85/85/FACT(85)-J6^87/87/FACT(87)+J6^89/89/FACT(89)-J6^91/91/FACT(91)+J6^93/93/FACT(93)-J6^95/95/FACT(95)+J6^97/97/FACT(97)-J6^99/99/FACT(99)+J6^101/101/FACT(101)-J6^103/103/FACT(103)</f>
        <v>1.8514143578021625</v>
      </c>
      <c r="L6" s="47">
        <f>LN(J6)+0.577215665-M6</f>
        <v>9.1957727556328583E-2</v>
      </c>
      <c r="M6" s="47">
        <f>J6^2/2/FACT(2)-J6^4/4/FACT(4)+J6^6/6/FACT(6)-J6^8/8/FACT(8)+J6^10/10/FACT(10)-J6^12/12/FACT(12)+J6^14/14/FACT(14)-J6^16/16/FACT(16)+J6^18/18/FACT(18)-J6^20/20/FACT(20)+J6^22/22/FACT(22)-J6^24/24/FACT(24)+J6^26/26/FACT(26)-J6^28/28/FACT(28)+J6^30/30/FACT(30)-J6^32/32/FACT(32)+J6^34/34/FACT(34)-J6^36/36/FACT(36)+J6^38/38/FACT(38)-J6^40/40/FACT(40)+J6^42/42/FACT(42)-J6^44/44/FACT(44)+J6^46/46/FACT(46)-J6^48/48/FACT(48)+J6^50/50/FACT(50)-J6^52/52/FACT(52)+J6^54/54/FACT(54)-J6^56/56/FACT(56)+J6^58/58/FACT(58)-J6^60/60/FACT(60)+J6^62/62/FACT(62)-J6^64/64/FACT(64)+J6^66/66/FACT(66)-J6^68/68/FACT(68)+J6^70/70/FACT(70)-J6^72/72/FACT(72)+J6^74/74/FACT(74)-J6^76/76/FACT(76)+J6^78/78/FACT(78)-J6^80/80/FACT(80)+J6^82/82/FACT(82)-J6^84/84/FACT(84)+J6^86/86/FACT(86)-J6^88/88/FACT(88)+J6^90/90/FACT(90)-J6^92/92/FACT(92)+J6^94/94/FACT(94)-J6^96/96/FACT(96)+J6^98/98/FACT(98)-J6^100/100/FACT(100)+J6^102/102/FACT(102)-J6^104/104/FACT(104)</f>
        <v>1.6116880661216382</v>
      </c>
      <c r="N6" s="47">
        <f>2*J6</f>
        <v>6.1692502136093967</v>
      </c>
      <c r="O6" s="47">
        <f>N6-N6^3/3/FACT(3)+N6^5/5/FACT(5)-N6^7/7/FACT(7)+N6^9/9/FACT(9)-N6^11/11/FACT(11)+N6^13/13/FACT(13)-N6^15/15/FACT(15)+N6^17/17/FACT(17)-N6^19/19/FACT(19)+N6^21/21/FACT(21)-N6^23/23/FACT(23)+N6^25/25/FACT(25)-N6^27/27/FACT(27)+N6^29/29/FACT(29)-N6^31/31/FACT(31)+N6^33/33/FACT(33)-N6^35/35/FACT(35)+N6^37/37/FACT(37)-N6^39/39/FACT(39)+N6^41/41/FACT(41)-N6^43/43/FACT(43)+N6^45/45/FACT(45)-N6^47/47/FACT(47)+N6^49/49/FACT(49)-N6^51/51/FACT(51)+N6^53/53/FACT(53)-N6^55/55/FACT(55)+N6^57/57/FACT(57)-N6^59/59/FACT(59)+N6^61/61/FACT(61)-N6^63/63/FACT(63)+N6^65/65/FACT(65)-N6^67/67/FACT(67)+N6^69/69/FACT(69)-N6^71/71/FACT(71)+N6^73/73/FACT(73)-N6^75/75/FACT(75)+N6^77/77/FACT(77)-N6^79/79/FACT(79)+N6^81/81/FACT(81)-N6^83/83/FACT(83)+N6^85/85/FACT(85)-N6^87/87/FACT(87)+N6^89/89/FACT(89)-N6^91/91/FACT(91)+N6^93/93/FACT(93)-N6^95/95/FACT(95)+N6^97/97/FACT(97)-N6^99/99/FACT(99)+N6^101/101/FACT(101)-N6^103/103/FACT(103)</f>
        <v>1.4191961145003953</v>
      </c>
      <c r="P6" s="47">
        <f>LN(N6)+0.577215665-Q6</f>
        <v>-4.0820671162967503E-2</v>
      </c>
      <c r="Q6" s="48">
        <f>N6^2/2/FACT(2)-N6^4/4/FACT(4)+N6^6/6/FACT(6)-N6^8/8/FACT(8)+N6^10/10/FACT(10)-N6^12/12/FACT(12)+N6^14/14/FACT(14)-N6^16/16/FACT(16)+N6^18/18/FACT(18)-N6^20/20/FACT(20)+N6^22/22/FACT(22)-N6^24/24/FACT(24)+N6^26/26/FACT(26)-N6^28/28/FACT(28)+N6^30/30/FACT(30)-N6^32/32/FACT(32)+N6^34/34/FACT(34)-N6^36/36/FACT(36)+N6^38/38/FACT(38)-N6^40/40/FACT(40)+N6^42/42/FACT(42)-N6^44/44/FACT(44)+N6^46/46/FACT(46)-N6^48/48/FACT(48)+N6^50/50/FACT(50)-N6^52/52/FACT(52)+N6^54/54/FACT(54)-N6^56/56/FACT(56)+N6^58/58/FACT(58)-N6^60/60/FACT(60)+N6^62/62/FACT(62)-N6^64/64/FACT(64)+N6^66/66/FACT(66)-N6^68/68/FACT(68)+N6^70/70/FACT(70)-N6^72/72/FACT(72)+N6^74/74/FACT(74)-N6^76/76/FACT(76)+N6^78/78/FACT(78)-N6^80/80/FACT(80)+N6^82/82/FACT(82)-N6^84/84/FACT(84)+N6^86/86/FACT(86)-N6^88/88/FACT(88)+N6^90/90/FACT(90)-N6^92/92/FACT(92)+N6^94/94/FACT(94)-N6^96/96/FACT(96)+N6^98/98/FACT(98)-N6^100/100/FACT(100)+N6^102/102/FACT(102)-N6^104/104/FACT(104)</f>
        <v>2.4376136454008797</v>
      </c>
      <c r="R6" s="49">
        <f>30*((2+2*COS(J6))*M6-COS(J6)*Q6-2*SIN(J6)*K6+SIN(J6)*O6)</f>
        <v>69.265971760222314</v>
      </c>
      <c r="S6" s="76">
        <v>3</v>
      </c>
      <c r="T6" s="77">
        <f t="shared" si="0"/>
        <v>5.2359877559829883E-2</v>
      </c>
      <c r="U6" s="77">
        <f t="shared" ref="U6:U12" si="1">ABS((COS($G$15)-COS($G$15*COS(T6)))/SIN(T6))</f>
        <v>4.0369247561861298E-2</v>
      </c>
      <c r="V6" s="77"/>
    </row>
    <row r="7" spans="1:26" ht="14.4" customHeight="1" thickBot="1" x14ac:dyDescent="0.3">
      <c r="A7" s="112"/>
      <c r="B7" s="113"/>
      <c r="C7" s="16"/>
      <c r="D7" s="11"/>
      <c r="E7" s="11"/>
      <c r="F7" s="11"/>
      <c r="G7" s="12"/>
      <c r="I7" s="41"/>
      <c r="J7" s="50">
        <f>2*K6*G6*G6/G10/G12</f>
        <v>1.6097214821955432E-8</v>
      </c>
      <c r="K7" s="51"/>
      <c r="L7" s="51"/>
      <c r="M7" s="47">
        <f>J7^2/2/FACT(2)-J7^4/4/FACT(4)+J7^6/6/FACT(6)-J7^8/8/FACT(8)+J7^10/10/FACT(10)-J7^12/12/FACT(12)+J7^14/14/FACT(14)-J7^16/16/FACT(16)+J7^18/18/FACT(18)-J7^20/20/FACT(20)+J7^22/22/FACT(22)-J7^24/24/FACT(24)+J7^26/26/FACT(26)-J7^28/28/FACT(28)+J7^30/30/FACT(30)-J7^32/32/FACT(32)+J7^34/34/FACT(34)-J7^36/36/FACT(36)+J7^38/38/FACT(38)-J7^40/40/FACT(40)+J7^42/42/FACT(42)-J7^44/44/FACT(44)+J7^46/46/FACT(46)-J7^48/48/FACT(48)+J7^50/50/FACT(50)-J7^52/52/FACT(52)+J7^54/54/FACT(54)-J7^56/56/FACT(56)+J7^58/58/FACT(58)-J7^60/60/FACT(60)+J7^62/62/FACT(62)-J7^64/64/FACT(64)+J7^66/66/FACT(66)-J7^68/68/FACT(68)+J7^70/70/FACT(70)-J7^72/72/FACT(72)+J7^74/74/FACT(74)-J7^76/76/FACT(76)+J7^78/78/FACT(78)-J7^80/80/FACT(80)+J7^82/82/FACT(82)-J7^84/84/FACT(84)+J7^86/86/FACT(86)-J7^88/88/FACT(88)+J7^90/90/FACT(90)-J7^92/92/FACT(92)+J7^94/94/FACT(94)-J7^96/96/FACT(96)+J7^98/98/FACT(98)-J7^100/100/FACT(100)+J7^102/102/FACT(102)-J7^104/104/FACT(104)</f>
        <v>6.4780081256045411E-17</v>
      </c>
      <c r="N7" s="51"/>
      <c r="O7" s="51"/>
      <c r="P7" s="51"/>
      <c r="Q7" s="52"/>
      <c r="R7" s="53"/>
      <c r="S7" s="76"/>
      <c r="T7" s="77"/>
      <c r="U7" s="77"/>
      <c r="V7" s="77"/>
    </row>
    <row r="8" spans="1:26" ht="13.8" customHeight="1" thickBot="1" x14ac:dyDescent="0.3">
      <c r="A8" s="114"/>
      <c r="B8" s="115"/>
      <c r="C8" s="100" t="s">
        <v>2</v>
      </c>
      <c r="D8" s="100"/>
      <c r="E8" s="100"/>
      <c r="F8" s="101"/>
      <c r="G8" s="2">
        <v>14</v>
      </c>
      <c r="I8" s="54" t="s">
        <v>60</v>
      </c>
      <c r="J8" s="55" t="s">
        <v>14</v>
      </c>
      <c r="K8" s="56" t="s">
        <v>53</v>
      </c>
      <c r="L8" s="56" t="s">
        <v>52</v>
      </c>
      <c r="M8" s="56" t="s">
        <v>51</v>
      </c>
      <c r="N8" s="57" t="s">
        <v>40</v>
      </c>
      <c r="O8" s="57" t="s">
        <v>41</v>
      </c>
      <c r="P8" s="57" t="s">
        <v>43</v>
      </c>
      <c r="Q8" s="58" t="s">
        <v>42</v>
      </c>
      <c r="R8" s="59"/>
      <c r="S8" s="76">
        <v>4</v>
      </c>
      <c r="T8" s="77">
        <f t="shared" si="0"/>
        <v>6.9813170079773182E-2</v>
      </c>
      <c r="U8" s="77">
        <f t="shared" si="1"/>
        <v>5.383388609549148E-2</v>
      </c>
      <c r="V8" s="77"/>
    </row>
    <row r="9" spans="1:26" ht="15" customHeight="1" thickBot="1" x14ac:dyDescent="0.3">
      <c r="A9" s="24"/>
      <c r="B9" s="24"/>
      <c r="C9" s="14"/>
      <c r="D9" s="14"/>
      <c r="E9" s="14"/>
      <c r="F9" s="14"/>
      <c r="G9" s="15"/>
      <c r="I9" s="60"/>
      <c r="J9" s="61">
        <f>(4*PI()/G10)*G6^2/G12</f>
        <v>5.462946921071225E-8</v>
      </c>
      <c r="K9" s="62"/>
      <c r="L9" s="63"/>
      <c r="M9" s="64">
        <f>J9^2/2/FACT(2)-J9^4/4/FACT(4)+J9^6/6/FACT(6)-J9^8/8/FACT(8)+J9^10/10/FACT(10)-J9^12/12/FACT(12)+J9^14/14/FACT(14)-J9^16/16/FACT(16)+J9^18/18/FACT(18)-J9^20/20/FACT(20)+J9^22/22/FACT(22)-J9^24/24/FACT(24)+J9^26/26/FACT(26)-J9^28/28/FACT(28)+J9^30/30/FACT(30)-J9^32/32/FACT(32)+J9^34/34/FACT(34)-J9^36/36/FACT(36)+J9^38/38/FACT(38)-J9^40/40/FACT(40)+J9^42/42/FACT(42)-J9^44/44/FACT(44)+J9^46/46/FACT(46)-J9^48/48/FACT(48)+J9^50/50/FACT(50)-J9^52/52/FACT(52)+J9^54/54/FACT(54)-J9^56/56/FACT(56)+J9^58/58/FACT(58)-J9^60/60/FACT(60)+J9^62/62/FACT(62)-J9^64/64/FACT(64)+J9^66/66/FACT(66)-J9^68/68/FACT(68)+J9^70/70/FACT(70)-J9^72/72/FACT(72)+J9^74/74/FACT(74)-J9^76/76/FACT(76)+J9^78/78/FACT(78)-J9^80/80/FACT(80)+J9^82/82/FACT(82)-J9^84/84/FACT(84)+J9^86/86/FACT(86)-J9^88/88/FACT(88)+J9^90/90/FACT(90)-J9^92/92/FACT(92)+J9^94/94/FACT(94)-J9^96/96/FACT(96)+J9^98/98/FACT(98)-J9^100/100/FACT(100)+J9^102/102/FACT(102)-J9^104/104/FACT(104)</f>
        <v>7.4609472656103937E-16</v>
      </c>
      <c r="N9" s="65"/>
      <c r="O9" s="65"/>
      <c r="P9" s="66"/>
      <c r="Q9" s="67"/>
      <c r="R9" s="68" t="s">
        <v>6</v>
      </c>
      <c r="S9" s="76">
        <v>5</v>
      </c>
      <c r="T9" s="77">
        <f t="shared" si="0"/>
        <v>8.7266462599716474E-2</v>
      </c>
      <c r="U9" s="77">
        <f t="shared" si="1"/>
        <v>6.7305491174454696E-2</v>
      </c>
      <c r="V9" s="77"/>
      <c r="X9" s="20"/>
      <c r="Y9" s="20"/>
      <c r="Z9" s="20"/>
    </row>
    <row r="10" spans="1:26" ht="15" customHeight="1" x14ac:dyDescent="0.25">
      <c r="A10" s="139" t="s">
        <v>31</v>
      </c>
      <c r="B10" s="140"/>
      <c r="C10" s="140"/>
      <c r="D10" s="141"/>
      <c r="E10" s="142" t="s">
        <v>3</v>
      </c>
      <c r="F10" s="143"/>
      <c r="G10" s="144">
        <f>300/G8</f>
        <v>21.428571428571427</v>
      </c>
      <c r="H10" s="145" t="s">
        <v>20</v>
      </c>
      <c r="I10" s="41"/>
      <c r="J10" s="69" t="s">
        <v>48</v>
      </c>
      <c r="K10" s="70"/>
      <c r="L10" s="51"/>
      <c r="M10" s="70"/>
      <c r="N10" s="71"/>
      <c r="O10" s="71"/>
      <c r="P10" s="71"/>
      <c r="Q10" s="72"/>
      <c r="R10" s="49">
        <f>30*(SIN(J6)-0.577215665+LN(J9)+2*M6-Q6)-COS(J6)*(2*K6-O6-2*K6)</f>
        <v>-495.13315817303794</v>
      </c>
      <c r="S10" s="76">
        <v>6</v>
      </c>
      <c r="T10" s="77">
        <f t="shared" si="0"/>
        <v>0.10471975511965977</v>
      </c>
      <c r="U10" s="77">
        <f t="shared" si="1"/>
        <v>8.0785702733741388E-2</v>
      </c>
      <c r="V10" s="77"/>
    </row>
    <row r="11" spans="1:26" ht="15" customHeight="1" thickBot="1" x14ac:dyDescent="0.4">
      <c r="A11" s="146"/>
      <c r="B11" s="147"/>
      <c r="C11" s="147"/>
      <c r="D11" s="148"/>
      <c r="E11" s="149" t="s">
        <v>61</v>
      </c>
      <c r="F11" s="150"/>
      <c r="G11" s="151">
        <f>G4</f>
        <v>5</v>
      </c>
      <c r="H11" s="152" t="s">
        <v>20</v>
      </c>
      <c r="I11" s="41"/>
      <c r="J11" s="73">
        <f>ABS((COS(G15)*COS(0.005)))/SIN(0.005)</f>
        <v>5.69593692289813</v>
      </c>
      <c r="K11" s="74"/>
      <c r="L11" s="74"/>
      <c r="M11" s="74"/>
      <c r="N11" s="74"/>
      <c r="O11" s="74"/>
      <c r="P11" s="74"/>
      <c r="Q11" s="67"/>
      <c r="R11" s="41"/>
      <c r="S11" s="76">
        <v>7</v>
      </c>
      <c r="T11" s="77">
        <f t="shared" si="0"/>
        <v>0.12217304763960307</v>
      </c>
      <c r="U11" s="77">
        <f t="shared" si="1"/>
        <v>9.4276093111840945E-2</v>
      </c>
      <c r="V11" s="77"/>
    </row>
    <row r="12" spans="1:26" ht="15" customHeight="1" x14ac:dyDescent="0.25">
      <c r="A12" s="146"/>
      <c r="B12" s="147"/>
      <c r="C12" s="147"/>
      <c r="D12" s="148"/>
      <c r="E12" s="149" t="s">
        <v>4</v>
      </c>
      <c r="F12" s="150"/>
      <c r="G12" s="151">
        <f>G11*1.052</f>
        <v>5.26</v>
      </c>
      <c r="H12" s="152" t="s">
        <v>20</v>
      </c>
      <c r="S12" s="76">
        <v>8</v>
      </c>
      <c r="T12" s="77">
        <f t="shared" si="0"/>
        <v>0.13962634015954636</v>
      </c>
      <c r="U12" s="77">
        <f t="shared" si="1"/>
        <v>0.10777815373717879</v>
      </c>
      <c r="V12" s="77"/>
    </row>
    <row r="13" spans="1:26" ht="13.2" customHeight="1" x14ac:dyDescent="0.25">
      <c r="A13" s="146"/>
      <c r="B13" s="147"/>
      <c r="C13" s="147"/>
      <c r="D13" s="148"/>
      <c r="E13" s="149" t="s">
        <v>16</v>
      </c>
      <c r="F13" s="150"/>
      <c r="G13" s="151">
        <f>G12/G10</f>
        <v>0.24546666666666667</v>
      </c>
      <c r="H13" s="153" t="s">
        <v>21</v>
      </c>
      <c r="S13" s="76"/>
      <c r="T13" s="77"/>
      <c r="U13" s="77"/>
      <c r="V13" s="77"/>
    </row>
    <row r="14" spans="1:26" ht="12" customHeight="1" x14ac:dyDescent="0.25">
      <c r="A14" s="146"/>
      <c r="B14" s="147"/>
      <c r="C14" s="147"/>
      <c r="D14" s="148"/>
      <c r="E14" s="154" t="s">
        <v>17</v>
      </c>
      <c r="F14" s="155"/>
      <c r="G14" s="156">
        <f>2*PI()/G10</f>
        <v>0.29321531433504738</v>
      </c>
      <c r="H14" s="152" t="s">
        <v>57</v>
      </c>
      <c r="S14" s="76">
        <v>9</v>
      </c>
      <c r="T14" s="77">
        <f t="shared" si="0"/>
        <v>0.15707963267948966</v>
      </c>
      <c r="U14" s="77">
        <f>ABS((COS($G$15)-COS($G$15*COS(T14)))/SIN(T14))</f>
        <v>0.12129328192843324</v>
      </c>
      <c r="V14" s="77"/>
    </row>
    <row r="15" spans="1:26" ht="16.2" customHeight="1" x14ac:dyDescent="0.25">
      <c r="A15" s="146"/>
      <c r="B15" s="147"/>
      <c r="C15" s="147"/>
      <c r="D15" s="148"/>
      <c r="E15" s="149" t="s">
        <v>18</v>
      </c>
      <c r="F15" s="150"/>
      <c r="G15" s="151">
        <f>2*PI()*G12/G10</f>
        <v>1.5423125534023492</v>
      </c>
      <c r="H15" s="157" t="s">
        <v>58</v>
      </c>
      <c r="S15" s="76"/>
      <c r="T15" s="77"/>
      <c r="U15" s="77"/>
      <c r="V15" s="77"/>
    </row>
    <row r="16" spans="1:26" ht="16.2" customHeight="1" thickBot="1" x14ac:dyDescent="0.35">
      <c r="A16" s="158"/>
      <c r="B16" s="159"/>
      <c r="C16" s="159"/>
      <c r="D16" s="160"/>
      <c r="E16" s="161" t="s">
        <v>8</v>
      </c>
      <c r="F16" s="162"/>
      <c r="G16" s="163">
        <f>120*(LN(G11/G6)-1-0.5*LN(2*G11/G10))</f>
        <v>990.59257936541007</v>
      </c>
      <c r="H16" s="164" t="s">
        <v>23</v>
      </c>
      <c r="S16" s="76">
        <v>10</v>
      </c>
      <c r="T16" s="77">
        <f t="shared" si="0"/>
        <v>0.17453292519943295</v>
      </c>
      <c r="U16" s="77">
        <f t="shared" ref="U16:U22" si="2">ABS((COS($G$15)-COS($G$15*COS(T16)))/SIN(T16))</f>
        <v>0.13482276782906913</v>
      </c>
      <c r="V16" s="77"/>
    </row>
    <row r="17" spans="1:16383" ht="14.4" customHeight="1" thickBot="1" x14ac:dyDescent="0.3">
      <c r="A17" s="23"/>
      <c r="B17" s="23"/>
      <c r="C17" s="25"/>
      <c r="D17" s="26"/>
      <c r="E17" s="17"/>
      <c r="F17" s="17"/>
      <c r="G17" s="31"/>
      <c r="H17" s="18"/>
      <c r="S17" s="76">
        <v>11</v>
      </c>
      <c r="T17" s="77">
        <f t="shared" si="0"/>
        <v>0.19198621771937624</v>
      </c>
      <c r="U17" s="77">
        <f t="shared" si="2"/>
        <v>0.14836778149706989</v>
      </c>
      <c r="V17" s="77"/>
    </row>
    <row r="18" spans="1:16383" ht="14.4" customHeight="1" x14ac:dyDescent="0.3">
      <c r="A18" s="119" t="s">
        <v>30</v>
      </c>
      <c r="B18" s="120"/>
      <c r="C18" s="128" t="s">
        <v>38</v>
      </c>
      <c r="D18" s="129"/>
      <c r="E18" s="108" t="s">
        <v>5</v>
      </c>
      <c r="F18" s="109"/>
      <c r="G18" s="27">
        <f>R6</f>
        <v>69.265971760222314</v>
      </c>
      <c r="H18" s="39" t="s">
        <v>23</v>
      </c>
      <c r="S18" s="76">
        <v>12</v>
      </c>
      <c r="T18" s="77">
        <f t="shared" si="0"/>
        <v>0.20943951023931953</v>
      </c>
      <c r="U18" s="77">
        <f t="shared" si="2"/>
        <v>0.16192936017145862</v>
      </c>
      <c r="V18" s="77"/>
      <c r="AD18" s="21"/>
    </row>
    <row r="19" spans="1:16383" ht="14.4" customHeight="1" x14ac:dyDescent="0.3">
      <c r="A19" s="121"/>
      <c r="B19" s="122"/>
      <c r="C19" s="130"/>
      <c r="D19" s="131"/>
      <c r="E19" s="108" t="s">
        <v>7</v>
      </c>
      <c r="F19" s="109"/>
      <c r="G19" s="28">
        <f>R10</f>
        <v>-495.13315817303794</v>
      </c>
      <c r="H19" s="79" t="s">
        <v>23</v>
      </c>
      <c r="K19" s="5"/>
      <c r="S19" s="76">
        <v>13</v>
      </c>
      <c r="T19" s="77">
        <f t="shared" si="0"/>
        <v>0.22689280275926285</v>
      </c>
      <c r="U19" s="77">
        <f t="shared" si="2"/>
        <v>0.17550839573795404</v>
      </c>
      <c r="V19" s="77"/>
    </row>
    <row r="20" spans="1:16383" s="6" customFormat="1" ht="14.4" customHeight="1" x14ac:dyDescent="0.3">
      <c r="A20" s="121"/>
      <c r="B20" s="122"/>
      <c r="C20" s="130"/>
      <c r="D20" s="131"/>
      <c r="E20" s="108" t="s">
        <v>10</v>
      </c>
      <c r="F20" s="109"/>
      <c r="G20" s="28">
        <f>G18/SIN(G15)^2</f>
        <v>69.322199408916944</v>
      </c>
      <c r="H20" s="79" t="s">
        <v>23</v>
      </c>
      <c r="I20" s="5"/>
      <c r="J20" s="5"/>
      <c r="K20" s="1"/>
      <c r="L20" s="5"/>
      <c r="M20" s="5"/>
      <c r="N20" s="5"/>
      <c r="O20" s="5"/>
      <c r="P20" s="5"/>
      <c r="Q20" s="5"/>
      <c r="R20" s="5"/>
      <c r="S20" s="76">
        <v>14</v>
      </c>
      <c r="T20" s="77">
        <f t="shared" si="0"/>
        <v>0.24434609527920614</v>
      </c>
      <c r="U20" s="77">
        <f t="shared" si="2"/>
        <v>0.18910562241688186</v>
      </c>
      <c r="V20" s="78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5"/>
      <c r="XCT20" s="5"/>
      <c r="XCU20" s="5"/>
      <c r="XCV20" s="5"/>
      <c r="XCW20" s="5"/>
      <c r="XCX20" s="5"/>
      <c r="XCY20" s="5"/>
      <c r="XCZ20" s="5"/>
      <c r="XDA20" s="5"/>
      <c r="XDB20" s="5"/>
      <c r="XDC20" s="5"/>
      <c r="XDD20" s="5"/>
      <c r="XDE20" s="5"/>
      <c r="XDF20" s="5"/>
      <c r="XDG20" s="5"/>
      <c r="XDH20" s="5"/>
      <c r="XDI20" s="5"/>
      <c r="XDJ20" s="5"/>
      <c r="XDK20" s="5"/>
      <c r="XDL20" s="5"/>
      <c r="XDM20" s="5"/>
      <c r="XDN20" s="5"/>
      <c r="XDO20" s="5"/>
      <c r="XDP20" s="5"/>
      <c r="XDQ20" s="5"/>
      <c r="XDR20" s="5"/>
      <c r="XDS20" s="5"/>
      <c r="XDT20" s="5"/>
      <c r="XDU20" s="5"/>
      <c r="XDV20" s="5"/>
      <c r="XDW20" s="5"/>
      <c r="XDX20" s="5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5"/>
      <c r="XEU20" s="5"/>
      <c r="XEV20" s="5"/>
      <c r="XEW20" s="5"/>
      <c r="XEX20" s="5"/>
      <c r="XEY20" s="5"/>
      <c r="XEZ20" s="5"/>
      <c r="XFA20" s="5"/>
      <c r="XFB20" s="5"/>
      <c r="XFC20" s="5"/>
    </row>
    <row r="21" spans="1:16383" ht="14.4" customHeight="1" thickBot="1" x14ac:dyDescent="0.35">
      <c r="A21" s="121"/>
      <c r="B21" s="122"/>
      <c r="C21" s="132"/>
      <c r="D21" s="133"/>
      <c r="E21" s="108" t="s">
        <v>9</v>
      </c>
      <c r="F21" s="109"/>
      <c r="G21" s="29">
        <f>G19/SIN(G15)^2</f>
        <v>-495.53508963472575</v>
      </c>
      <c r="H21" s="79" t="s">
        <v>23</v>
      </c>
      <c r="S21" s="76">
        <v>15</v>
      </c>
      <c r="T21" s="77">
        <f t="shared" si="0"/>
        <v>0.26179938779914941</v>
      </c>
      <c r="U21" s="77">
        <f t="shared" si="2"/>
        <v>0.20272160469728914</v>
      </c>
      <c r="V21" s="77"/>
    </row>
    <row r="22" spans="1:16383" ht="14.4" customHeight="1" thickBot="1" x14ac:dyDescent="0.3">
      <c r="A22" s="121"/>
      <c r="B22" s="122"/>
      <c r="C22" s="125" t="s">
        <v>19</v>
      </c>
      <c r="D22" s="126"/>
      <c r="E22" s="126"/>
      <c r="F22" s="127"/>
      <c r="G22" s="30">
        <f>2*G18/G16</f>
        <v>0.13984754823137327</v>
      </c>
      <c r="H22" s="38" t="s">
        <v>24</v>
      </c>
      <c r="S22" s="76">
        <v>16</v>
      </c>
      <c r="T22" s="77">
        <f t="shared" si="0"/>
        <v>0.27925268031909273</v>
      </c>
      <c r="U22" s="77">
        <f t="shared" si="2"/>
        <v>0.21635672554201654</v>
      </c>
      <c r="V22" s="77"/>
    </row>
    <row r="23" spans="1:16383" ht="15.6" customHeight="1" thickBot="1" x14ac:dyDescent="0.35">
      <c r="A23" s="121"/>
      <c r="B23" s="122"/>
      <c r="C23" s="102" t="s">
        <v>39</v>
      </c>
      <c r="D23" s="103"/>
      <c r="E23" s="134" t="s">
        <v>13</v>
      </c>
      <c r="F23" s="97"/>
      <c r="G23" s="32">
        <f>G25*SIN(G15)^2</f>
        <v>69.153030366775525</v>
      </c>
      <c r="H23" s="80" t="s">
        <v>23</v>
      </c>
      <c r="S23" s="76"/>
      <c r="T23" s="77"/>
      <c r="U23" s="77"/>
      <c r="V23" s="77"/>
    </row>
    <row r="24" spans="1:16383" ht="13.8" customHeight="1" thickBot="1" x14ac:dyDescent="0.3">
      <c r="A24" s="121"/>
      <c r="B24" s="122"/>
      <c r="C24" s="104"/>
      <c r="D24" s="105"/>
      <c r="E24" s="135" t="s">
        <v>7</v>
      </c>
      <c r="F24" s="136"/>
      <c r="G24" s="32">
        <f>G26*SIN(G15)^2</f>
        <v>-28.063010792653841</v>
      </c>
      <c r="H24" s="36" t="s">
        <v>23</v>
      </c>
      <c r="S24" s="76">
        <v>17</v>
      </c>
      <c r="T24" s="77">
        <f t="shared" si="0"/>
        <v>0.29670597283903605</v>
      </c>
      <c r="U24" s="77">
        <f t="shared" ref="U24:U33" si="3">ABS((COS($G$15)-COS($G$15*COS(T24)))/SIN(T24))</f>
        <v>0.2300111748893971</v>
      </c>
      <c r="V24" s="77"/>
    </row>
    <row r="25" spans="1:16383" ht="14.4" customHeight="1" x14ac:dyDescent="0.25">
      <c r="A25" s="121"/>
      <c r="B25" s="122"/>
      <c r="C25" s="104"/>
      <c r="D25" s="105"/>
      <c r="E25" s="134" t="s">
        <v>11</v>
      </c>
      <c r="F25" s="97"/>
      <c r="G25" s="33">
        <f>G16*SINH(G22)/(COSH(G22)-COS(J6))</f>
        <v>69.209166333669799</v>
      </c>
      <c r="H25" s="36" t="s">
        <v>23</v>
      </c>
      <c r="S25" s="76">
        <v>18</v>
      </c>
      <c r="T25" s="77">
        <f t="shared" si="0"/>
        <v>0.31415926535897931</v>
      </c>
      <c r="U25" s="77">
        <f t="shared" si="3"/>
        <v>0.24368493847808917</v>
      </c>
      <c r="V25" s="77"/>
    </row>
    <row r="26" spans="1:16383" ht="14.4" customHeight="1" thickBot="1" x14ac:dyDescent="0.3">
      <c r="A26" s="121"/>
      <c r="B26" s="122"/>
      <c r="C26" s="106"/>
      <c r="D26" s="107"/>
      <c r="E26" s="134" t="s">
        <v>12</v>
      </c>
      <c r="F26" s="97"/>
      <c r="G26" s="34">
        <f>G16*(-SIN(J6))/(COSH(G22)-COS(J6))</f>
        <v>-28.08579134524069</v>
      </c>
      <c r="H26" s="37" t="s">
        <v>23</v>
      </c>
      <c r="S26" s="76">
        <v>19</v>
      </c>
      <c r="T26" s="77">
        <f t="shared" si="0"/>
        <v>0.33161255787892258</v>
      </c>
      <c r="U26" s="77">
        <f t="shared" si="3"/>
        <v>0.25737778702243075</v>
      </c>
      <c r="V26" s="77"/>
    </row>
    <row r="27" spans="1:16383" ht="14.4" customHeight="1" x14ac:dyDescent="0.25">
      <c r="A27" s="121"/>
      <c r="B27" s="122"/>
      <c r="C27" s="90" t="s">
        <v>15</v>
      </c>
      <c r="D27" s="91"/>
      <c r="E27" s="137" t="s">
        <v>32</v>
      </c>
      <c r="F27" s="138"/>
      <c r="G27" s="33">
        <f>(120/G18)*V3^2</f>
        <v>1.6351773976283654</v>
      </c>
      <c r="H27" s="40" t="s">
        <v>59</v>
      </c>
      <c r="S27" s="76">
        <v>20</v>
      </c>
      <c r="T27" s="77">
        <f t="shared" si="0"/>
        <v>0.3490658503988659</v>
      </c>
      <c r="U27" s="77">
        <f t="shared" si="3"/>
        <v>0.27108926576654735</v>
      </c>
      <c r="V27" s="77"/>
    </row>
    <row r="28" spans="1:16383" ht="14.4" customHeight="1" x14ac:dyDescent="0.25">
      <c r="A28" s="121"/>
      <c r="B28" s="122"/>
      <c r="C28" s="92"/>
      <c r="D28" s="93"/>
      <c r="E28" s="96" t="s">
        <v>33</v>
      </c>
      <c r="F28" s="97"/>
      <c r="G28" s="34">
        <f>10*LOG10(G27)</f>
        <v>2.1356487542555787</v>
      </c>
      <c r="H28" s="36" t="s">
        <v>34</v>
      </c>
      <c r="S28" s="76">
        <v>21</v>
      </c>
      <c r="T28" s="77">
        <f t="shared" si="0"/>
        <v>0.36651914291880922</v>
      </c>
      <c r="U28" s="77">
        <f t="shared" si="3"/>
        <v>0.2848186844462624</v>
      </c>
      <c r="V28" s="77"/>
    </row>
    <row r="29" spans="1:16383" ht="14.4" customHeight="1" x14ac:dyDescent="0.25">
      <c r="A29" s="121"/>
      <c r="B29" s="122"/>
      <c r="C29" s="92"/>
      <c r="D29" s="93"/>
      <c r="E29" s="96" t="s">
        <v>35</v>
      </c>
      <c r="F29" s="97"/>
      <c r="G29" s="34">
        <f>10*LOG10(G27/1.64)</f>
        <v>-1.2789726221400025E-2</v>
      </c>
      <c r="H29" s="36" t="s">
        <v>36</v>
      </c>
      <c r="S29" s="76"/>
      <c r="T29" s="77"/>
      <c r="U29" s="77"/>
      <c r="V29" s="77"/>
    </row>
    <row r="30" spans="1:16383" ht="14.4" customHeight="1" thickBot="1" x14ac:dyDescent="0.3">
      <c r="A30" s="123"/>
      <c r="B30" s="124"/>
      <c r="C30" s="94"/>
      <c r="D30" s="95"/>
      <c r="E30" s="13"/>
      <c r="F30" s="19" t="s">
        <v>25</v>
      </c>
      <c r="G30" s="35">
        <f>G27*G10^2/4/PI()</f>
        <v>59.750487014853675</v>
      </c>
      <c r="H30" s="37" t="s">
        <v>37</v>
      </c>
      <c r="S30" s="76"/>
      <c r="T30" s="77"/>
      <c r="U30" s="77"/>
      <c r="V30" s="77"/>
    </row>
    <row r="31" spans="1:16383" ht="14.4" customHeight="1" x14ac:dyDescent="0.25">
      <c r="F31" s="3"/>
      <c r="G31" s="4"/>
      <c r="S31" s="76">
        <v>22</v>
      </c>
      <c r="T31" s="77">
        <f t="shared" si="0"/>
        <v>0.38397243543875248</v>
      </c>
      <c r="U31" s="77">
        <f t="shared" si="3"/>
        <v>0.29856510768863936</v>
      </c>
      <c r="V31" s="77"/>
    </row>
    <row r="32" spans="1:16383" ht="14.4" customHeight="1" x14ac:dyDescent="0.25">
      <c r="F32" s="3"/>
      <c r="G32" s="4"/>
      <c r="S32" s="76">
        <v>23</v>
      </c>
      <c r="T32" s="77">
        <f t="shared" si="0"/>
        <v>0.40142572795869574</v>
      </c>
      <c r="U32" s="77">
        <f t="shared" si="3"/>
        <v>0.31232734587969024</v>
      </c>
      <c r="V32" s="77"/>
    </row>
    <row r="33" spans="6:22" ht="14.4" customHeight="1" x14ac:dyDescent="0.25">
      <c r="F33" s="3"/>
      <c r="G33" s="4"/>
      <c r="S33" s="76">
        <v>26</v>
      </c>
      <c r="T33" s="77">
        <f t="shared" si="0"/>
        <v>0.4537856055185257</v>
      </c>
      <c r="U33" s="77">
        <f t="shared" si="3"/>
        <v>0.35369306284696783</v>
      </c>
      <c r="V33" s="77"/>
    </row>
    <row r="34" spans="6:22" ht="14.4" customHeight="1" x14ac:dyDescent="0.25">
      <c r="F34" s="3"/>
      <c r="G34" s="4"/>
      <c r="S34" s="76"/>
      <c r="T34" s="77"/>
      <c r="U34" s="77"/>
      <c r="V34" s="77"/>
    </row>
    <row r="35" spans="6:22" ht="14.4" customHeight="1" x14ac:dyDescent="0.25">
      <c r="F35" s="3"/>
      <c r="S35" s="76"/>
      <c r="T35" s="77"/>
      <c r="U35" s="77"/>
      <c r="V35" s="77"/>
    </row>
    <row r="36" spans="6:22" ht="14.4" customHeight="1" x14ac:dyDescent="0.25">
      <c r="F36" s="3"/>
      <c r="S36" s="76"/>
      <c r="T36" s="77"/>
      <c r="U36" s="77"/>
      <c r="V36" s="77"/>
    </row>
    <row r="37" spans="6:22" ht="16.8" customHeight="1" x14ac:dyDescent="0.25">
      <c r="F37" s="3"/>
      <c r="S37" s="76">
        <v>27</v>
      </c>
      <c r="T37" s="77">
        <f t="shared" si="0"/>
        <v>0.47123889803846897</v>
      </c>
      <c r="U37" s="77">
        <f t="shared" ref="U37:U74" si="4">ABS((COS($G$15)-COS($G$15*COS(T37)))/SIN(T37))</f>
        <v>0.36750128909665669</v>
      </c>
      <c r="V37" s="77"/>
    </row>
    <row r="38" spans="6:22" x14ac:dyDescent="0.25">
      <c r="F38" s="3"/>
      <c r="S38" s="76">
        <v>28</v>
      </c>
      <c r="T38" s="77">
        <f t="shared" si="0"/>
        <v>0.48869219055841229</v>
      </c>
      <c r="U38" s="77">
        <f t="shared" si="4"/>
        <v>0.38131528572155576</v>
      </c>
      <c r="V38" s="77"/>
    </row>
    <row r="39" spans="6:22" x14ac:dyDescent="0.25">
      <c r="F39" s="3"/>
      <c r="S39" s="76">
        <v>29</v>
      </c>
      <c r="T39" s="77">
        <f t="shared" si="0"/>
        <v>0.50614548307835561</v>
      </c>
      <c r="U39" s="77">
        <f t="shared" si="4"/>
        <v>0.39513217608930795</v>
      </c>
      <c r="V39" s="77"/>
    </row>
    <row r="40" spans="6:22" x14ac:dyDescent="0.25">
      <c r="F40" s="3"/>
      <c r="S40" s="76">
        <v>30</v>
      </c>
      <c r="T40" s="77">
        <f t="shared" si="0"/>
        <v>0.52359877559829882</v>
      </c>
      <c r="U40" s="77">
        <f t="shared" si="4"/>
        <v>0.40894878118349304</v>
      </c>
      <c r="V40" s="77"/>
    </row>
    <row r="41" spans="6:22" x14ac:dyDescent="0.25">
      <c r="F41" s="3"/>
      <c r="S41" s="76">
        <v>31</v>
      </c>
      <c r="T41" s="77">
        <f t="shared" si="0"/>
        <v>0.54105206811824214</v>
      </c>
      <c r="U41" s="77">
        <f t="shared" si="4"/>
        <v>0.42276161537078372</v>
      </c>
      <c r="V41" s="77"/>
    </row>
    <row r="42" spans="6:22" x14ac:dyDescent="0.25">
      <c r="F42" s="3"/>
      <c r="S42" s="76">
        <v>32</v>
      </c>
      <c r="T42" s="77">
        <f t="shared" si="0"/>
        <v>0.55850536063818546</v>
      </c>
      <c r="U42" s="77">
        <f t="shared" si="4"/>
        <v>0.43656688292638535</v>
      </c>
      <c r="V42" s="77"/>
    </row>
    <row r="43" spans="6:22" x14ac:dyDescent="0.25">
      <c r="F43" s="3"/>
      <c r="S43" s="76">
        <v>33</v>
      </c>
      <c r="T43" s="77">
        <f t="shared" si="0"/>
        <v>0.57595865315812877</v>
      </c>
      <c r="U43" s="77">
        <f t="shared" si="4"/>
        <v>0.45036047534908874</v>
      </c>
      <c r="V43" s="77"/>
    </row>
    <row r="44" spans="6:22" x14ac:dyDescent="0.25">
      <c r="F44" s="3"/>
      <c r="S44" s="76">
        <v>34</v>
      </c>
      <c r="T44" s="77">
        <f t="shared" si="0"/>
        <v>0.59341194567807209</v>
      </c>
      <c r="U44" s="77">
        <f t="shared" si="4"/>
        <v>0.46413796949638803</v>
      </c>
      <c r="V44" s="77"/>
    </row>
    <row r="45" spans="6:22" x14ac:dyDescent="0.25">
      <c r="F45" s="3"/>
      <c r="S45" s="76">
        <v>35</v>
      </c>
      <c r="T45" s="77">
        <f t="shared" si="0"/>
        <v>0.6108652381980153</v>
      </c>
      <c r="U45" s="77">
        <f t="shared" si="4"/>
        <v>0.4778946265690604</v>
      </c>
      <c r="V45" s="77"/>
    </row>
    <row r="46" spans="6:22" x14ac:dyDescent="0.25">
      <c r="F46" s="3"/>
      <c r="S46" s="76">
        <v>36</v>
      </c>
      <c r="T46" s="77">
        <f t="shared" si="0"/>
        <v>0.62831853071795862</v>
      </c>
      <c r="U46" s="77">
        <f t="shared" si="4"/>
        <v>0.49162539197332894</v>
      </c>
      <c r="V46" s="77"/>
    </row>
    <row r="47" spans="6:22" x14ac:dyDescent="0.25">
      <c r="F47" s="3"/>
      <c r="S47" s="76">
        <v>37</v>
      </c>
      <c r="T47" s="77">
        <f t="shared" si="0"/>
        <v>0.64577182323790194</v>
      </c>
      <c r="U47" s="77">
        <f t="shared" si="4"/>
        <v>0.50532489608720266</v>
      </c>
      <c r="V47" s="77"/>
    </row>
    <row r="48" spans="6:22" x14ac:dyDescent="0.25">
      <c r="F48" s="3"/>
      <c r="S48" s="76">
        <v>38</v>
      </c>
      <c r="T48" s="77">
        <f t="shared" si="0"/>
        <v>0.66322511575784515</v>
      </c>
      <c r="U48" s="77">
        <f t="shared" si="4"/>
        <v>0.51898745595585893</v>
      </c>
      <c r="V48" s="77"/>
    </row>
    <row r="49" spans="6:22" x14ac:dyDescent="0.25">
      <c r="F49" s="3"/>
      <c r="S49" s="76">
        <v>39</v>
      </c>
      <c r="T49" s="77">
        <f t="shared" si="0"/>
        <v>0.68067840827778847</v>
      </c>
      <c r="U49" s="77">
        <f t="shared" si="4"/>
        <v>0.53260707793894535</v>
      </c>
      <c r="V49" s="77"/>
    </row>
    <row r="50" spans="6:22" x14ac:dyDescent="0.25">
      <c r="F50" s="3"/>
      <c r="S50" s="76">
        <v>40</v>
      </c>
      <c r="T50" s="77">
        <f t="shared" si="0"/>
        <v>0.69813170079773179</v>
      </c>
      <c r="U50" s="77">
        <f t="shared" si="4"/>
        <v>0.54617746133045353</v>
      </c>
      <c r="V50" s="77"/>
    </row>
    <row r="51" spans="6:22" x14ac:dyDescent="0.25">
      <c r="F51" s="3"/>
      <c r="S51" s="76">
        <v>41</v>
      </c>
      <c r="T51" s="77">
        <f t="shared" si="0"/>
        <v>0.715584993317675</v>
      </c>
      <c r="U51" s="77">
        <f t="shared" si="4"/>
        <v>0.55969200296937316</v>
      </c>
      <c r="V51" s="77"/>
    </row>
    <row r="52" spans="6:22" x14ac:dyDescent="0.25">
      <c r="F52" s="3"/>
      <c r="S52" s="76">
        <v>42</v>
      </c>
      <c r="T52" s="77">
        <f t="shared" si="0"/>
        <v>0.73303828583761843</v>
      </c>
      <c r="U52" s="77">
        <f t="shared" si="4"/>
        <v>0.57314380285662703</v>
      </c>
      <c r="V52" s="77"/>
    </row>
    <row r="53" spans="6:22" x14ac:dyDescent="0.25">
      <c r="S53" s="76">
        <v>43</v>
      </c>
      <c r="T53" s="77">
        <f t="shared" si="0"/>
        <v>0.75049157835756164</v>
      </c>
      <c r="U53" s="77">
        <f t="shared" si="4"/>
        <v>0.58652567079086304</v>
      </c>
      <c r="V53" s="77"/>
    </row>
    <row r="54" spans="6:22" x14ac:dyDescent="0.25">
      <c r="S54" s="76">
        <v>44</v>
      </c>
      <c r="T54" s="77">
        <f t="shared" si="0"/>
        <v>0.76794487087750496</v>
      </c>
      <c r="U54" s="77">
        <f t="shared" si="4"/>
        <v>0.59983013403253371</v>
      </c>
      <c r="V54" s="77"/>
    </row>
    <row r="55" spans="6:22" x14ac:dyDescent="0.25">
      <c r="S55" s="76">
        <v>45</v>
      </c>
      <c r="T55" s="77">
        <f t="shared" si="0"/>
        <v>0.78539816339744828</v>
      </c>
      <c r="U55" s="77">
        <f t="shared" si="4"/>
        <v>0.61304944600230182</v>
      </c>
      <c r="V55" s="77"/>
    </row>
    <row r="56" spans="6:22" x14ac:dyDescent="0.25">
      <c r="S56" s="76">
        <v>46</v>
      </c>
      <c r="T56" s="77">
        <f t="shared" si="0"/>
        <v>0.80285145591739149</v>
      </c>
      <c r="U56" s="77">
        <f t="shared" si="4"/>
        <v>0.62617559601624384</v>
      </c>
      <c r="V56" s="77"/>
    </row>
    <row r="57" spans="6:22" x14ac:dyDescent="0.25">
      <c r="S57" s="76">
        <v>47</v>
      </c>
      <c r="T57" s="77">
        <f t="shared" si="0"/>
        <v>0.82030474843733492</v>
      </c>
      <c r="U57" s="77">
        <f t="shared" si="4"/>
        <v>0.63920032005652605</v>
      </c>
      <c r="V57" s="77"/>
    </row>
    <row r="58" spans="6:22" x14ac:dyDescent="0.25">
      <c r="S58" s="76">
        <v>48</v>
      </c>
      <c r="T58" s="77">
        <f t="shared" si="0"/>
        <v>0.83775804095727813</v>
      </c>
      <c r="U58" s="77">
        <f t="shared" si="4"/>
        <v>0.6521151125722745</v>
      </c>
      <c r="V58" s="77"/>
    </row>
    <row r="59" spans="6:22" x14ac:dyDescent="0.25">
      <c r="S59" s="76">
        <v>49</v>
      </c>
      <c r="T59" s="77">
        <f t="shared" si="0"/>
        <v>0.85521133347722145</v>
      </c>
      <c r="U59" s="77">
        <f t="shared" si="4"/>
        <v>0.66491123930121765</v>
      </c>
      <c r="V59" s="77"/>
    </row>
    <row r="60" spans="6:22" x14ac:dyDescent="0.25">
      <c r="S60" s="76">
        <v>50</v>
      </c>
      <c r="T60" s="77">
        <f t="shared" si="0"/>
        <v>0.87266462599716477</v>
      </c>
      <c r="U60" s="77">
        <f t="shared" si="4"/>
        <v>0.67757975109840562</v>
      </c>
      <c r="V60" s="77"/>
    </row>
    <row r="61" spans="6:22" x14ac:dyDescent="0.25">
      <c r="S61" s="76">
        <v>51</v>
      </c>
      <c r="T61" s="77">
        <f t="shared" si="0"/>
        <v>0.89011791851710798</v>
      </c>
      <c r="U61" s="77">
        <f t="shared" si="4"/>
        <v>0.69011149875389344</v>
      </c>
      <c r="V61" s="77"/>
    </row>
    <row r="62" spans="6:22" x14ac:dyDescent="0.25">
      <c r="S62" s="76">
        <v>52</v>
      </c>
      <c r="T62" s="77">
        <f t="shared" si="0"/>
        <v>0.90757121103705141</v>
      </c>
      <c r="U62" s="77">
        <f t="shared" si="4"/>
        <v>0.70249714877675962</v>
      </c>
      <c r="V62" s="77"/>
    </row>
    <row r="63" spans="6:22" x14ac:dyDescent="0.25">
      <c r="S63" s="76">
        <v>53</v>
      </c>
      <c r="T63" s="77">
        <f t="shared" si="0"/>
        <v>0.92502450355699462</v>
      </c>
      <c r="U63" s="77">
        <f t="shared" si="4"/>
        <v>0.71472720011823809</v>
      </c>
      <c r="V63" s="77"/>
    </row>
    <row r="64" spans="6:22" x14ac:dyDescent="0.25">
      <c r="S64" s="76">
        <v>54</v>
      </c>
      <c r="T64" s="77">
        <f t="shared" si="0"/>
        <v>0.94247779607693793</v>
      </c>
      <c r="U64" s="77">
        <f t="shared" si="4"/>
        <v>0.72679200180207093</v>
      </c>
      <c r="V64" s="77"/>
    </row>
    <row r="65" spans="19:22" x14ac:dyDescent="0.25">
      <c r="S65" s="76">
        <v>55</v>
      </c>
      <c r="T65" s="77">
        <f t="shared" si="0"/>
        <v>0.95993108859688125</v>
      </c>
      <c r="U65" s="77">
        <f t="shared" si="4"/>
        <v>0.73868177142551406</v>
      </c>
      <c r="V65" s="77"/>
    </row>
    <row r="66" spans="19:22" x14ac:dyDescent="0.25">
      <c r="S66" s="76">
        <v>56</v>
      </c>
      <c r="T66" s="77">
        <f t="shared" si="0"/>
        <v>0.97738438111682457</v>
      </c>
      <c r="U66" s="77">
        <f t="shared" si="4"/>
        <v>0.7503866144897392</v>
      </c>
      <c r="V66" s="77"/>
    </row>
    <row r="67" spans="19:22" x14ac:dyDescent="0.25">
      <c r="S67" s="76">
        <v>57</v>
      </c>
      <c r="T67" s="77">
        <f t="shared" si="0"/>
        <v>0.99483767363676778</v>
      </c>
      <c r="U67" s="77">
        <f t="shared" si="4"/>
        <v>0.76189654451370659</v>
      </c>
      <c r="V67" s="77"/>
    </row>
    <row r="68" spans="19:22" x14ac:dyDescent="0.25">
      <c r="S68" s="76">
        <v>58</v>
      </c>
      <c r="T68" s="77">
        <f t="shared" si="0"/>
        <v>1.0122909661567112</v>
      </c>
      <c r="U68" s="77">
        <f t="shared" si="4"/>
        <v>0.77320150388099862</v>
      </c>
      <c r="V68" s="77"/>
    </row>
    <row r="69" spans="19:22" x14ac:dyDescent="0.25">
      <c r="S69" s="76">
        <v>59</v>
      </c>
      <c r="T69" s="77">
        <f t="shared" si="0"/>
        <v>1.0297442586766543</v>
      </c>
      <c r="U69" s="77">
        <f t="shared" si="4"/>
        <v>0.78429138536458187</v>
      </c>
      <c r="V69" s="77"/>
    </row>
    <row r="70" spans="19:22" x14ac:dyDescent="0.25">
      <c r="S70" s="76">
        <v>60</v>
      </c>
      <c r="T70" s="77">
        <f t="shared" si="0"/>
        <v>1.0471975511965976</v>
      </c>
      <c r="U70" s="77">
        <f t="shared" si="4"/>
        <v>0.79515605427009228</v>
      </c>
      <c r="V70" s="77"/>
    </row>
    <row r="71" spans="19:22" x14ac:dyDescent="0.25">
      <c r="S71" s="76">
        <v>61</v>
      </c>
      <c r="T71" s="77">
        <f t="shared" si="0"/>
        <v>1.064650843716541</v>
      </c>
      <c r="U71" s="77">
        <f t="shared" si="4"/>
        <v>0.80578537113399684</v>
      </c>
      <c r="V71" s="77"/>
    </row>
    <row r="72" spans="19:22" x14ac:dyDescent="0.25">
      <c r="S72" s="76">
        <v>62</v>
      </c>
      <c r="T72" s="77">
        <f t="shared" si="0"/>
        <v>1.0821041362364843</v>
      </c>
      <c r="U72" s="77">
        <f t="shared" si="4"/>
        <v>0.81616921490895644</v>
      </c>
      <c r="V72" s="77"/>
    </row>
    <row r="73" spans="19:22" x14ac:dyDescent="0.25">
      <c r="S73" s="76">
        <v>63</v>
      </c>
      <c r="T73" s="77">
        <f t="shared" si="0"/>
        <v>1.0995574287564276</v>
      </c>
      <c r="U73" s="77">
        <f t="shared" si="4"/>
        <v>0.82629750656488388</v>
      </c>
      <c r="V73" s="77"/>
    </row>
    <row r="74" spans="19:22" x14ac:dyDescent="0.25">
      <c r="S74" s="76">
        <v>64</v>
      </c>
      <c r="T74" s="77">
        <f t="shared" si="0"/>
        <v>1.1170107212763709</v>
      </c>
      <c r="U74" s="77">
        <f t="shared" si="4"/>
        <v>0.83616023303062459</v>
      </c>
      <c r="V74" s="77"/>
    </row>
    <row r="75" spans="19:22" x14ac:dyDescent="0.25">
      <c r="S75" s="76">
        <v>65</v>
      </c>
      <c r="T75" s="77">
        <f t="shared" ref="T75:T100" si="5">S75*PI()/180</f>
        <v>1.1344640137963142</v>
      </c>
      <c r="U75" s="77">
        <f t="shared" ref="U75:U100" si="6">ABS((COS($G$15)-COS($G$15*COS(T75)))/SIN(T75))</f>
        <v>0.84574747139790774</v>
      </c>
      <c r="V75" s="77"/>
    </row>
    <row r="76" spans="19:22" x14ac:dyDescent="0.25">
      <c r="S76" s="76">
        <v>66</v>
      </c>
      <c r="T76" s="77">
        <f t="shared" si="5"/>
        <v>1.1519173063162575</v>
      </c>
      <c r="U76" s="77">
        <f t="shared" si="6"/>
        <v>0.85504941330622564</v>
      </c>
      <c r="V76" s="77"/>
    </row>
    <row r="77" spans="19:22" x14ac:dyDescent="0.25">
      <c r="S77" s="76">
        <v>67</v>
      </c>
      <c r="T77" s="77">
        <f t="shared" si="5"/>
        <v>1.1693705988362006</v>
      </c>
      <c r="U77" s="77">
        <f t="shared" si="6"/>
        <v>0.86405638942468677</v>
      </c>
      <c r="V77" s="77"/>
    </row>
    <row r="78" spans="19:22" x14ac:dyDescent="0.25">
      <c r="S78" s="76">
        <v>68</v>
      </c>
      <c r="T78" s="77">
        <f t="shared" si="5"/>
        <v>1.1868238913561442</v>
      </c>
      <c r="U78" s="77">
        <f t="shared" si="6"/>
        <v>0.87275889394460215</v>
      </c>
      <c r="V78" s="77"/>
    </row>
    <row r="79" spans="19:22" x14ac:dyDescent="0.25">
      <c r="S79" s="76">
        <v>69</v>
      </c>
      <c r="T79" s="77">
        <f t="shared" si="5"/>
        <v>1.2042771838760873</v>
      </c>
      <c r="U79" s="77">
        <f t="shared" si="6"/>
        <v>0.8811476089947009</v>
      </c>
      <c r="V79" s="77"/>
    </row>
    <row r="80" spans="19:22" x14ac:dyDescent="0.25">
      <c r="S80" s="76">
        <v>70</v>
      </c>
      <c r="T80" s="77">
        <f t="shared" si="5"/>
        <v>1.2217304763960306</v>
      </c>
      <c r="U80" s="77">
        <f t="shared" si="6"/>
        <v>0.88921342888941357</v>
      </c>
      <c r="V80" s="77"/>
    </row>
    <row r="81" spans="19:22" x14ac:dyDescent="0.25">
      <c r="S81" s="76">
        <v>71</v>
      </c>
      <c r="T81" s="77">
        <f t="shared" si="5"/>
        <v>1.2391837689159739</v>
      </c>
      <c r="U81" s="77">
        <f t="shared" si="6"/>
        <v>0.89694748411962133</v>
      </c>
      <c r="V81" s="77"/>
    </row>
    <row r="82" spans="19:22" x14ac:dyDescent="0.25">
      <c r="S82" s="76">
        <v>72</v>
      </c>
      <c r="T82" s="77">
        <f t="shared" si="5"/>
        <v>1.2566370614359172</v>
      </c>
      <c r="U82" s="77">
        <f t="shared" si="6"/>
        <v>0.90434116499471517</v>
      </c>
      <c r="V82" s="77"/>
    </row>
    <row r="83" spans="19:22" x14ac:dyDescent="0.25">
      <c r="S83" s="76">
        <v>73</v>
      </c>
      <c r="T83" s="77">
        <f t="shared" si="5"/>
        <v>1.2740903539558606</v>
      </c>
      <c r="U83" s="77">
        <f t="shared" si="6"/>
        <v>0.91138614484468383</v>
      </c>
      <c r="V83" s="77"/>
    </row>
    <row r="84" spans="19:22" x14ac:dyDescent="0.25">
      <c r="S84" s="76">
        <v>74</v>
      </c>
      <c r="T84" s="77">
        <f t="shared" si="5"/>
        <v>1.2915436464758039</v>
      </c>
      <c r="U84" s="77">
        <f t="shared" si="6"/>
        <v>0.91807440269132745</v>
      </c>
      <c r="V84" s="77"/>
    </row>
    <row r="85" spans="19:22" x14ac:dyDescent="0.25">
      <c r="S85" s="76">
        <v>75</v>
      </c>
      <c r="T85" s="77">
        <f t="shared" si="5"/>
        <v>1.3089969389957472</v>
      </c>
      <c r="U85" s="77">
        <f t="shared" si="6"/>
        <v>0.9243982452985462</v>
      </c>
      <c r="V85" s="77"/>
    </row>
    <row r="86" spans="19:22" x14ac:dyDescent="0.25">
      <c r="S86" s="76">
        <v>76</v>
      </c>
      <c r="T86" s="77">
        <f t="shared" si="5"/>
        <v>1.3264502315156903</v>
      </c>
      <c r="U86" s="77">
        <f t="shared" si="6"/>
        <v>0.93035032851299571</v>
      </c>
      <c r="V86" s="77"/>
    </row>
    <row r="87" spans="19:22" x14ac:dyDescent="0.25">
      <c r="S87" s="76">
        <v>77</v>
      </c>
      <c r="T87" s="77">
        <f t="shared" si="5"/>
        <v>1.3439035240356338</v>
      </c>
      <c r="U87" s="77">
        <f t="shared" si="6"/>
        <v>0.93592367780823726</v>
      </c>
      <c r="V87" s="77"/>
    </row>
    <row r="88" spans="19:22" x14ac:dyDescent="0.25">
      <c r="S88" s="76">
        <v>78</v>
      </c>
      <c r="T88" s="77">
        <f t="shared" si="5"/>
        <v>1.3613568165555769</v>
      </c>
      <c r="U88" s="77">
        <f t="shared" si="6"/>
        <v>0.94111170794783028</v>
      </c>
      <c r="V88" s="77"/>
    </row>
    <row r="89" spans="19:22" x14ac:dyDescent="0.25">
      <c r="S89" s="76">
        <v>79</v>
      </c>
      <c r="T89" s="77">
        <f t="shared" si="5"/>
        <v>1.3788101090755203</v>
      </c>
      <c r="U89" s="77">
        <f t="shared" si="6"/>
        <v>0.94590824168562637</v>
      </c>
      <c r="V89" s="77"/>
    </row>
    <row r="90" spans="19:22" x14ac:dyDescent="0.25">
      <c r="S90" s="76">
        <v>80</v>
      </c>
      <c r="T90" s="77">
        <f t="shared" si="5"/>
        <v>1.3962634015954636</v>
      </c>
      <c r="U90" s="77">
        <f t="shared" si="6"/>
        <v>0.95030752742479063</v>
      </c>
      <c r="V90" s="77"/>
    </row>
    <row r="91" spans="19:22" x14ac:dyDescent="0.25">
      <c r="S91" s="76">
        <v>81</v>
      </c>
      <c r="T91" s="77">
        <f t="shared" si="5"/>
        <v>1.4137166941154069</v>
      </c>
      <c r="U91" s="77">
        <f t="shared" si="6"/>
        <v>0.95430425576081923</v>
      </c>
      <c r="V91" s="77"/>
    </row>
    <row r="92" spans="19:22" x14ac:dyDescent="0.25">
      <c r="S92" s="76">
        <v>82</v>
      </c>
      <c r="T92" s="77">
        <f t="shared" si="5"/>
        <v>1.43116998663535</v>
      </c>
      <c r="U92" s="77">
        <f t="shared" si="6"/>
        <v>0.95789357483799653</v>
      </c>
      <c r="V92" s="77"/>
    </row>
    <row r="93" spans="19:22" x14ac:dyDescent="0.25">
      <c r="S93" s="76">
        <v>83</v>
      </c>
      <c r="T93" s="77">
        <f t="shared" si="5"/>
        <v>1.4486232791552935</v>
      </c>
      <c r="U93" s="77">
        <f t="shared" si="6"/>
        <v>0.96107110445332722</v>
      </c>
      <c r="V93" s="77"/>
    </row>
    <row r="94" spans="19:22" x14ac:dyDescent="0.25">
      <c r="S94" s="76">
        <v>84</v>
      </c>
      <c r="T94" s="77">
        <f t="shared" si="5"/>
        <v>1.4660765716752369</v>
      </c>
      <c r="U94" s="77">
        <f t="shared" si="6"/>
        <v>0.96383294884698267</v>
      </c>
      <c r="V94" s="77"/>
    </row>
    <row r="95" spans="19:22" x14ac:dyDescent="0.25">
      <c r="S95" s="76">
        <v>85</v>
      </c>
      <c r="T95" s="77">
        <f t="shared" si="5"/>
        <v>1.4835298641951802</v>
      </c>
      <c r="U95" s="77">
        <f t="shared" si="6"/>
        <v>0.96617570812365183</v>
      </c>
      <c r="V95" s="77"/>
    </row>
    <row r="96" spans="19:22" x14ac:dyDescent="0.25">
      <c r="S96" s="76">
        <v>86</v>
      </c>
      <c r="T96" s="77">
        <f t="shared" si="5"/>
        <v>1.5009831567151233</v>
      </c>
      <c r="U96" s="77">
        <f t="shared" si="6"/>
        <v>0.96809648825490202</v>
      </c>
      <c r="V96" s="77"/>
    </row>
    <row r="97" spans="19:22" x14ac:dyDescent="0.25">
      <c r="S97" s="76">
        <v>87</v>
      </c>
      <c r="T97" s="77">
        <f t="shared" si="5"/>
        <v>1.5184364492350666</v>
      </c>
      <c r="U97" s="77">
        <f t="shared" si="6"/>
        <v>0.96959290961865319</v>
      </c>
      <c r="V97" s="77"/>
    </row>
    <row r="98" spans="19:22" x14ac:dyDescent="0.25">
      <c r="S98" s="76">
        <v>88</v>
      </c>
      <c r="T98" s="77">
        <f t="shared" si="5"/>
        <v>1.5358897417550099</v>
      </c>
      <c r="U98" s="77">
        <f t="shared" si="6"/>
        <v>0.97066311403815753</v>
      </c>
      <c r="V98" s="77"/>
    </row>
    <row r="99" spans="19:22" x14ac:dyDescent="0.25">
      <c r="S99" s="76">
        <v>89</v>
      </c>
      <c r="T99" s="77">
        <f t="shared" si="5"/>
        <v>1.5533430342749535</v>
      </c>
      <c r="U99" s="77">
        <f t="shared" si="6"/>
        <v>0.97130577028938647</v>
      </c>
      <c r="V99" s="77"/>
    </row>
    <row r="100" spans="19:22" x14ac:dyDescent="0.25">
      <c r="S100" s="76">
        <v>90</v>
      </c>
      <c r="T100" s="77">
        <f t="shared" si="5"/>
        <v>1.5707963267948966</v>
      </c>
      <c r="U100" s="77">
        <f t="shared" si="6"/>
        <v>0.9715200780524309</v>
      </c>
      <c r="V100" s="77"/>
    </row>
    <row r="101" spans="19:22" x14ac:dyDescent="0.25">
      <c r="S101" s="7"/>
    </row>
    <row r="103" spans="19:22" x14ac:dyDescent="0.25">
      <c r="S103" s="7"/>
    </row>
    <row r="104" spans="19:22" x14ac:dyDescent="0.25">
      <c r="S104" s="7"/>
    </row>
    <row r="105" spans="19:22" x14ac:dyDescent="0.25">
      <c r="S105" s="7"/>
    </row>
    <row r="107" spans="19:22" x14ac:dyDescent="0.25">
      <c r="S107" s="7"/>
    </row>
    <row r="108" spans="19:22" x14ac:dyDescent="0.25">
      <c r="S108" s="7"/>
    </row>
    <row r="109" spans="19:22" x14ac:dyDescent="0.25">
      <c r="S109" s="7"/>
    </row>
    <row r="111" spans="19:22" x14ac:dyDescent="0.25">
      <c r="S111" s="7"/>
    </row>
    <row r="112" spans="19:22" x14ac:dyDescent="0.25">
      <c r="S112" s="7"/>
    </row>
    <row r="113" spans="19:19" x14ac:dyDescent="0.25">
      <c r="S113" s="7"/>
    </row>
    <row r="115" spans="19:19" x14ac:dyDescent="0.25">
      <c r="S115" s="7"/>
    </row>
    <row r="116" spans="19:19" x14ac:dyDescent="0.25">
      <c r="S116" s="7"/>
    </row>
    <row r="117" spans="19:19" x14ac:dyDescent="0.25">
      <c r="S117" s="7"/>
    </row>
    <row r="119" spans="19:19" x14ac:dyDescent="0.25">
      <c r="S119" s="7"/>
    </row>
    <row r="120" spans="19:19" x14ac:dyDescent="0.25">
      <c r="S120" s="7"/>
    </row>
    <row r="121" spans="19:19" x14ac:dyDescent="0.25">
      <c r="S121" s="7"/>
    </row>
    <row r="123" spans="19:19" x14ac:dyDescent="0.25">
      <c r="S123" s="7"/>
    </row>
    <row r="124" spans="19:19" x14ac:dyDescent="0.25">
      <c r="S124" s="7"/>
    </row>
    <row r="125" spans="19:19" x14ac:dyDescent="0.25">
      <c r="S125" s="7"/>
    </row>
    <row r="127" spans="19:19" x14ac:dyDescent="0.25">
      <c r="S127" s="7"/>
    </row>
    <row r="128" spans="19:19" x14ac:dyDescent="0.25">
      <c r="S128" s="7"/>
    </row>
    <row r="129" spans="19:19" x14ac:dyDescent="0.25">
      <c r="S129" s="7"/>
    </row>
    <row r="131" spans="19:19" x14ac:dyDescent="0.25">
      <c r="S131" s="7"/>
    </row>
    <row r="132" spans="19:19" x14ac:dyDescent="0.25">
      <c r="S132" s="7"/>
    </row>
    <row r="133" spans="19:19" x14ac:dyDescent="0.25">
      <c r="S133" s="7"/>
    </row>
    <row r="135" spans="19:19" x14ac:dyDescent="0.25">
      <c r="S135" s="7"/>
    </row>
    <row r="136" spans="19:19" x14ac:dyDescent="0.25">
      <c r="S136" s="7"/>
    </row>
    <row r="137" spans="19:19" x14ac:dyDescent="0.25">
      <c r="S137" s="7"/>
    </row>
    <row r="139" spans="19:19" x14ac:dyDescent="0.25">
      <c r="S139" s="7"/>
    </row>
    <row r="140" spans="19:19" x14ac:dyDescent="0.25">
      <c r="S140" s="7"/>
    </row>
    <row r="141" spans="19:19" x14ac:dyDescent="0.25">
      <c r="S141" s="7"/>
    </row>
    <row r="143" spans="19:19" x14ac:dyDescent="0.25">
      <c r="S143" s="7"/>
    </row>
    <row r="144" spans="19:19" x14ac:dyDescent="0.25">
      <c r="S144" s="7"/>
    </row>
  </sheetData>
  <mergeCells count="31">
    <mergeCell ref="A4:B8"/>
    <mergeCell ref="C6:F6"/>
    <mergeCell ref="A10:D16"/>
    <mergeCell ref="A18:B30"/>
    <mergeCell ref="C22:F22"/>
    <mergeCell ref="E15:F15"/>
    <mergeCell ref="E16:F16"/>
    <mergeCell ref="C18:D21"/>
    <mergeCell ref="E20:F20"/>
    <mergeCell ref="E21:F21"/>
    <mergeCell ref="E23:F23"/>
    <mergeCell ref="E25:F25"/>
    <mergeCell ref="E26:F26"/>
    <mergeCell ref="E24:F24"/>
    <mergeCell ref="E27:F27"/>
    <mergeCell ref="J4:M4"/>
    <mergeCell ref="N4:Q4"/>
    <mergeCell ref="E14:F14"/>
    <mergeCell ref="A1:H2"/>
    <mergeCell ref="C27:D30"/>
    <mergeCell ref="E28:F28"/>
    <mergeCell ref="E29:F29"/>
    <mergeCell ref="E10:F10"/>
    <mergeCell ref="E11:F11"/>
    <mergeCell ref="E12:F12"/>
    <mergeCell ref="E13:F13"/>
    <mergeCell ref="C4:F4"/>
    <mergeCell ref="C8:F8"/>
    <mergeCell ref="C23:D26"/>
    <mergeCell ref="E18:F18"/>
    <mergeCell ref="E19:F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Armando1941</dc:creator>
  <cp:lastModifiedBy>Usuario de Windows</cp:lastModifiedBy>
  <dcterms:created xsi:type="dcterms:W3CDTF">2018-03-12T17:05:33Z</dcterms:created>
  <dcterms:modified xsi:type="dcterms:W3CDTF">2021-06-12T16:55:45Z</dcterms:modified>
</cp:coreProperties>
</file>