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E:\Mis Documentos\ANTENAS\Apuntes antenas\Calculadores\"/>
    </mc:Choice>
  </mc:AlternateContent>
  <xr:revisionPtr revIDLastSave="0" documentId="13_ncr:1_{DE7DB707-70DA-4131-9D16-A9ADEACF56A5}" xr6:coauthVersionLast="47" xr6:coauthVersionMax="47" xr10:uidLastSave="{00000000-0000-0000-0000-000000000000}"/>
  <bookViews>
    <workbookView xWindow="-108" yWindow="-108" windowWidth="23256" windowHeight="12576" xr2:uid="{00000000-000D-0000-FFFF-FFFF00000000}"/>
  </bookViews>
  <sheets>
    <sheet name="Hoja1" sheetId="1" r:id="rId1"/>
  </sheets>
  <calcPr calcId="181029"/>
</workbook>
</file>

<file path=xl/calcChain.xml><?xml version="1.0" encoding="utf-8"?>
<calcChain xmlns="http://schemas.openxmlformats.org/spreadsheetml/2006/main">
  <c r="M50" i="1" l="1"/>
  <c r="O8" i="1"/>
  <c r="Q40" i="1"/>
  <c r="L20" i="1" l="1"/>
  <c r="L21" i="1"/>
  <c r="Q37" i="1" l="1"/>
  <c r="Q36" i="1" l="1"/>
  <c r="Q38" i="1" s="1"/>
  <c r="L17" i="1" l="1"/>
  <c r="L19" i="1" l="1"/>
  <c r="L18" i="1"/>
  <c r="L22" i="1" s="1"/>
  <c r="O13" i="1" l="1"/>
  <c r="L23" i="1"/>
  <c r="R13" i="1" s="1"/>
  <c r="L48" i="1"/>
  <c r="M48" i="1" s="1"/>
  <c r="L27" i="1" l="1"/>
  <c r="L28" i="1" s="1"/>
  <c r="Q7" i="1" s="1"/>
  <c r="Q39" i="1" l="1"/>
  <c r="Q46" i="1" s="1"/>
  <c r="L41" i="1" s="1"/>
  <c r="Q41" i="1" l="1"/>
  <c r="Q42" i="1" s="1"/>
  <c r="Q44" i="1" s="1"/>
  <c r="L47" i="1" s="1"/>
  <c r="M47" i="1" s="1"/>
  <c r="L39" i="1"/>
  <c r="L50" i="1" l="1"/>
  <c r="L52" i="1"/>
  <c r="Q45" i="1"/>
  <c r="L40" i="1"/>
  <c r="L51" i="1" l="1"/>
  <c r="M51" i="1" l="1"/>
  <c r="M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D9" authorId="0" shapeId="0" xr:uid="{00000000-0006-0000-0000-000001000000}">
      <text>
        <r>
          <rPr>
            <b/>
            <sz val="9"/>
            <color indexed="81"/>
            <rFont val="Tahoma"/>
            <family val="2"/>
          </rPr>
          <t>Usuario de Windows:</t>
        </r>
        <r>
          <rPr>
            <sz val="9"/>
            <color indexed="81"/>
            <rFont val="Tahoma"/>
            <family val="2"/>
          </rPr>
          <t xml:space="preserve">
Aunque se supone que los calculos se efectuan para llevar a resonancia la antena, previendo una reactancia en la entrada de cero ohmios, dado que la antena es corta, tendrá una resistencia en la base de poco valor (&lt;50 </t>
        </r>
        <r>
          <rPr>
            <sz val="9"/>
            <color indexed="81"/>
            <rFont val="Calibri"/>
            <family val="2"/>
          </rPr>
          <t>Ω</t>
        </r>
        <r>
          <rPr>
            <sz val="9"/>
            <color indexed="81"/>
            <rFont val="Tahoma"/>
            <family val="2"/>
          </rPr>
          <t xml:space="preserve">), por lo que seria interesante, en algunas ocasiones, prever cierta reactancia en la entrada, para que con su equivalente paralelo, ajustar la resistencia en la base a 50 </t>
        </r>
        <r>
          <rPr>
            <sz val="9"/>
            <color indexed="81"/>
            <rFont val="Calibri"/>
            <family val="2"/>
          </rPr>
          <t>Ω,</t>
        </r>
        <r>
          <rPr>
            <sz val="9"/>
            <color indexed="81"/>
            <rFont val="Tahoma"/>
            <family val="2"/>
          </rPr>
          <t xml:space="preserve"> usando la bobina de la base como autotransformador.</t>
        </r>
      </text>
    </comment>
    <comment ref="P34" authorId="0" shapeId="0" xr:uid="{00000000-0006-0000-0000-000002000000}">
      <text>
        <r>
          <rPr>
            <b/>
            <sz val="9"/>
            <color indexed="81"/>
            <rFont val="Tahoma"/>
            <family val="2"/>
          </rPr>
          <t>Usuario de Windows:</t>
        </r>
        <r>
          <rPr>
            <sz val="9"/>
            <color indexed="81"/>
            <rFont val="Tahoma"/>
            <family val="2"/>
          </rPr>
          <t xml:space="preserve">
Este es un elonlace directo a un calculador de características de  inductancias en el rango de RF, que se ajusta más a nuestras necesidades</t>
        </r>
      </text>
    </comment>
    <comment ref="P36" authorId="0" shapeId="0" xr:uid="{00000000-0006-0000-0000-000003000000}">
      <text>
        <r>
          <rPr>
            <b/>
            <sz val="9"/>
            <color indexed="81"/>
            <rFont val="Tahoma"/>
            <family val="2"/>
          </rPr>
          <t>Usuario de Windows:</t>
        </r>
        <r>
          <rPr>
            <sz val="9"/>
            <color indexed="81"/>
            <rFont val="Tahoma"/>
            <family val="2"/>
          </rPr>
          <t xml:space="preserve">
Nº de espiras por cm supuesta su separación, igual a su diámetro (10/(2*K32)
</t>
        </r>
      </text>
    </comment>
    <comment ref="L39" authorId="0" shapeId="0" xr:uid="{46C49A34-D9F4-414B-85F1-818E2559CF00}">
      <text>
        <r>
          <rPr>
            <b/>
            <sz val="9"/>
            <color indexed="81"/>
            <rFont val="Tahoma"/>
            <family val="2"/>
          </rPr>
          <t>Usuario de Windows:</t>
        </r>
        <r>
          <rPr>
            <sz val="9"/>
            <color indexed="81"/>
            <rFont val="Tahoma"/>
            <family val="2"/>
          </rPr>
          <t xml:space="preserve">
El número de espiras está calculado suponiendo una separación entre ellas igual a su diámetro</t>
        </r>
      </text>
    </comment>
    <comment ref="L49" authorId="0" shapeId="0" xr:uid="{E23DA24D-D468-4278-8082-7E4B79EFEF25}">
      <text>
        <r>
          <rPr>
            <b/>
            <sz val="9"/>
            <color indexed="81"/>
            <rFont val="Tahoma"/>
            <family val="2"/>
          </rPr>
          <t>Usuario de Windows:</t>
        </r>
        <r>
          <rPr>
            <sz val="9"/>
            <color indexed="81"/>
            <rFont val="Tahoma"/>
            <family val="2"/>
          </rPr>
          <t xml:space="preserve">
Solo se introducirá un valor en el caso de un monopolo con un plano de tierra
</t>
        </r>
      </text>
    </comment>
  </commentList>
</comments>
</file>

<file path=xl/sharedStrings.xml><?xml version="1.0" encoding="utf-8"?>
<sst xmlns="http://schemas.openxmlformats.org/spreadsheetml/2006/main" count="92" uniqueCount="78">
  <si>
    <t>Tramo interno</t>
  </si>
  <si>
    <t>Tramo externo</t>
  </si>
  <si>
    <t>l</t>
  </si>
  <si>
    <t>Zo interno</t>
  </si>
  <si>
    <t>Zo externo</t>
  </si>
  <si>
    <t>Tope tramo interno</t>
  </si>
  <si>
    <t>Entrada tramo externo</t>
  </si>
  <si>
    <t>ENTRADA DATOS</t>
  </si>
  <si>
    <t>CALCULO DE LA BOBINA DE CARGA PARA UNA ANTENA CORTA (Monopolo o rama de dipolo)</t>
  </si>
  <si>
    <t>W</t>
  </si>
  <si>
    <t>FORMULAS</t>
  </si>
  <si>
    <t>rad.</t>
  </si>
  <si>
    <t>[-(X externo - X interno)]</t>
  </si>
  <si>
    <t>300/F (MHz)</t>
  </si>
  <si>
    <t>RESULTADOS ADICIONALES</t>
  </si>
  <si>
    <t>36,5*(1-seno(pi()/2-βH externo)^2 + seno(βH interno)^2)</t>
  </si>
  <si>
    <t>Resistencia plano tierra (estimada)</t>
  </si>
  <si>
    <t>50/Resistencia de entrada</t>
  </si>
  <si>
    <t>Resistencia de radiación X 100 / total resistencias</t>
  </si>
  <si>
    <t>Resistencia estimada</t>
  </si>
  <si>
    <t>Carga Inductiva</t>
  </si>
  <si>
    <t xml:space="preserve">Rendimiento </t>
  </si>
  <si>
    <t>(%)</t>
  </si>
  <si>
    <r>
      <rPr>
        <b/>
        <sz val="10"/>
        <color rgb="FFFF0000"/>
        <rFont val="Calibri"/>
        <family val="2"/>
      </rPr>
      <t>μ</t>
    </r>
    <r>
      <rPr>
        <b/>
        <sz val="10"/>
        <color rgb="FFFF0000"/>
        <rFont val="Arial"/>
        <family val="2"/>
      </rPr>
      <t>H</t>
    </r>
  </si>
  <si>
    <r>
      <t>Reactancia de entrada (</t>
    </r>
    <r>
      <rPr>
        <sz val="10"/>
        <rFont val="Calibri"/>
        <family val="2"/>
      </rPr>
      <t>Ω</t>
    </r>
    <r>
      <rPr>
        <sz val="10"/>
        <rFont val="Arial"/>
        <family val="2"/>
      </rPr>
      <t xml:space="preserve">) </t>
    </r>
  </si>
  <si>
    <t>ENTRADA DE DATOS DE LA BOBINA</t>
  </si>
  <si>
    <t xml:space="preserve">Diámetro del Soporte </t>
  </si>
  <si>
    <t xml:space="preserve">Diámetro del hilo </t>
  </si>
  <si>
    <t>mm</t>
  </si>
  <si>
    <t>n</t>
  </si>
  <si>
    <t>D1</t>
  </si>
  <si>
    <t>X</t>
  </si>
  <si>
    <t>N</t>
  </si>
  <si>
    <t>lesp</t>
  </si>
  <si>
    <t>lw</t>
  </si>
  <si>
    <t>Rw</t>
  </si>
  <si>
    <t>Q</t>
  </si>
  <si>
    <t>Rbob</t>
  </si>
  <si>
    <t>Número de espiras</t>
  </si>
  <si>
    <t>Resistencia a la RF</t>
  </si>
  <si>
    <t>Longitud de la bobina</t>
  </si>
  <si>
    <t>l bob</t>
  </si>
  <si>
    <t>cm</t>
  </si>
  <si>
    <t>RESULTADOS ELECTRICOS</t>
  </si>
  <si>
    <t>Calculos bobina</t>
  </si>
  <si>
    <t>CALCULOS INTERMEDIOS</t>
  </si>
  <si>
    <t>Zo inter*(Zo inter*tan(BH inter)-Xe)/(Xe*tan(BH inter)-Zo inter)</t>
  </si>
  <si>
    <t>[-Zo externo/tan(βH externo)]</t>
  </si>
  <si>
    <t>60(ln(tramo interno*1000/radio interno)-1-1/2*ln(2*tramo interno/lamda)</t>
  </si>
  <si>
    <t>60(ln(tramo externo*1000/radio externo)-1-1/2*ln(2*tramo externo/lamda)</t>
  </si>
  <si>
    <t xml:space="preserve"> Reactancia en el tope tramo interno, </t>
  </si>
  <si>
    <t>Reactancia en la entrada tramo externo</t>
  </si>
  <si>
    <t>Reactancia de la bobina de carga</t>
  </si>
  <si>
    <t xml:space="preserve">Inductancia de la bobina de carga </t>
  </si>
  <si>
    <t xml:space="preserve">RESULTADOS DE LA BOBINA </t>
  </si>
  <si>
    <t>Ω</t>
  </si>
  <si>
    <t>¡¡Visitar!! https://hamwaves.com/inductance/en/index.html#input</t>
  </si>
  <si>
    <t>DISEÑO DE LA BOBINA DE CARGA CALCULADA</t>
  </si>
  <si>
    <t>m</t>
  </si>
  <si>
    <t>Resistencia bobina en la alimentación</t>
  </si>
  <si>
    <t>Resist.. Radiación en la alimentación</t>
  </si>
  <si>
    <t>Resistencia entrada en la alimentación</t>
  </si>
  <si>
    <r>
      <t>Longitud angular tramo interno (</t>
    </r>
    <r>
      <rPr>
        <sz val="10"/>
        <color theme="0" tint="-0.34998626667073579"/>
        <rFont val="Calibri"/>
        <family val="2"/>
      </rPr>
      <t>β</t>
    </r>
    <r>
      <rPr>
        <sz val="10"/>
        <color theme="0" tint="-0.34998626667073579"/>
        <rFont val="Arial"/>
        <family val="2"/>
      </rPr>
      <t>l</t>
    </r>
    <r>
      <rPr>
        <vertAlign val="subscript"/>
        <sz val="14"/>
        <color theme="0" tint="-0.34998626667073579"/>
        <rFont val="Arial"/>
        <family val="2"/>
      </rPr>
      <t>int</t>
    </r>
    <r>
      <rPr>
        <sz val="12"/>
        <color theme="0" tint="-0.34998626667073579"/>
        <rFont val="Arial"/>
        <family val="2"/>
      </rPr>
      <t>)</t>
    </r>
    <r>
      <rPr>
        <sz val="10"/>
        <color theme="0" tint="-0.34998626667073579"/>
        <rFont val="Arial"/>
        <family val="2"/>
      </rPr>
      <t xml:space="preserve"> </t>
    </r>
  </si>
  <si>
    <r>
      <t>Longitud angular tramo externo (βl</t>
    </r>
    <r>
      <rPr>
        <vertAlign val="subscript"/>
        <sz val="14"/>
        <color theme="0" tint="-0.34998626667073579"/>
        <rFont val="Arial"/>
        <family val="2"/>
      </rPr>
      <t>ext</t>
    </r>
    <r>
      <rPr>
        <sz val="10"/>
        <color theme="0" tint="-0.34998626667073579"/>
        <rFont val="Arial"/>
        <family val="2"/>
      </rPr>
      <t xml:space="preserve">) </t>
    </r>
  </si>
  <si>
    <r>
      <t>2π*Tramo interno/</t>
    </r>
    <r>
      <rPr>
        <sz val="10"/>
        <color theme="0" tint="-0.34998626667073579"/>
        <rFont val="Symbol"/>
        <family val="1"/>
        <charset val="2"/>
      </rPr>
      <t>l</t>
    </r>
  </si>
  <si>
    <r>
      <t>2π*Tramo externo/</t>
    </r>
    <r>
      <rPr>
        <sz val="10"/>
        <color theme="0" tint="-0.34998626667073579"/>
        <rFont val="Symbol"/>
        <family val="1"/>
        <charset val="2"/>
      </rPr>
      <t>l</t>
    </r>
  </si>
  <si>
    <r>
      <t>X carga/2</t>
    </r>
    <r>
      <rPr>
        <sz val="10"/>
        <color theme="0" tint="-0.34998626667073579"/>
        <rFont val="Symbol"/>
        <family val="1"/>
        <charset val="2"/>
      </rPr>
      <t>p</t>
    </r>
    <r>
      <rPr>
        <sz val="10"/>
        <color theme="0" tint="-0.34998626667073579"/>
        <rFont val="Arial"/>
        <family val="2"/>
      </rPr>
      <t>F</t>
    </r>
  </si>
  <si>
    <r>
      <t xml:space="preserve">ROE respecto a 50 </t>
    </r>
    <r>
      <rPr>
        <sz val="10"/>
        <color rgb="FFFF0000"/>
        <rFont val="Calibri"/>
        <family val="2"/>
      </rPr>
      <t>Ω</t>
    </r>
  </si>
  <si>
    <r>
      <t>R</t>
    </r>
    <r>
      <rPr>
        <sz val="8"/>
        <color theme="0" tint="-0.34998626667073579"/>
        <rFont val="Arial"/>
        <family val="2"/>
      </rPr>
      <t>bob</t>
    </r>
    <r>
      <rPr>
        <sz val="10"/>
        <color theme="0" tint="-0.34998626667073579"/>
        <rFont val="Arial"/>
        <family val="2"/>
      </rPr>
      <t>*cos(</t>
    </r>
    <r>
      <rPr>
        <sz val="10"/>
        <color theme="0" tint="-0.34998626667073579"/>
        <rFont val="Calibri"/>
        <family val="2"/>
      </rPr>
      <t>β</t>
    </r>
    <r>
      <rPr>
        <sz val="10"/>
        <color theme="0" tint="-0.34998626667073579"/>
        <rFont val="Arial"/>
        <family val="2"/>
      </rPr>
      <t>H interno)^2</t>
    </r>
  </si>
  <si>
    <t>Suma de resistencias en la alimentación</t>
  </si>
  <si>
    <t>Monopolo</t>
  </si>
  <si>
    <t>Dipolo</t>
  </si>
  <si>
    <r>
      <rPr>
        <b/>
        <sz val="10"/>
        <rFont val="Calibri"/>
        <family val="2"/>
      </rPr>
      <t>μ</t>
    </r>
    <r>
      <rPr>
        <b/>
        <sz val="10"/>
        <rFont val="Arial"/>
        <family val="2"/>
      </rPr>
      <t>H</t>
    </r>
  </si>
  <si>
    <t>Tramo interno (m)</t>
  </si>
  <si>
    <t>Tramo externo (m)</t>
  </si>
  <si>
    <t>Radio tramo interno (mm)</t>
  </si>
  <si>
    <t>Radio tramo externo (mm)</t>
  </si>
  <si>
    <t>Frecuencia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</si>
</sst>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8"/>
      <name val="Arial"/>
      <family val="2"/>
    </font>
    <font>
      <b/>
      <sz val="10"/>
      <color indexed="10"/>
      <name val="Arial"/>
      <family val="2"/>
    </font>
    <font>
      <sz val="10"/>
      <color indexed="12"/>
      <name val="Arial"/>
      <family val="2"/>
    </font>
    <font>
      <b/>
      <sz val="12"/>
      <name val="Arial"/>
      <family val="2"/>
    </font>
    <font>
      <b/>
      <sz val="12"/>
      <color indexed="12"/>
      <name val="Arial"/>
      <family val="2"/>
    </font>
    <font>
      <b/>
      <sz val="10"/>
      <color indexed="10"/>
      <name val="Symbol"/>
      <family val="1"/>
      <charset val="2"/>
    </font>
    <font>
      <b/>
      <sz val="10"/>
      <name val="Arial"/>
      <family val="2"/>
    </font>
    <font>
      <sz val="10"/>
      <name val="Arial"/>
      <family val="2"/>
    </font>
    <font>
      <sz val="10"/>
      <name val="Calibri"/>
      <family val="2"/>
    </font>
    <font>
      <b/>
      <sz val="10"/>
      <color rgb="FFFF0000"/>
      <name val="Arial"/>
      <family val="2"/>
    </font>
    <font>
      <b/>
      <sz val="10"/>
      <color rgb="FFFF0000"/>
      <name val="Calibri"/>
      <family val="2"/>
    </font>
    <font>
      <sz val="10"/>
      <color rgb="FF0070C0"/>
      <name val="Arial"/>
      <family val="2"/>
    </font>
    <font>
      <sz val="10"/>
      <color theme="0" tint="-0.499984740745262"/>
      <name val="Arial"/>
      <family val="2"/>
    </font>
    <font>
      <u/>
      <sz val="10"/>
      <color theme="10"/>
      <name val="Arial"/>
      <family val="2"/>
    </font>
    <font>
      <sz val="9"/>
      <color indexed="81"/>
      <name val="Tahoma"/>
      <family val="2"/>
    </font>
    <font>
      <b/>
      <sz val="9"/>
      <color indexed="81"/>
      <name val="Tahoma"/>
      <family val="2"/>
    </font>
    <font>
      <sz val="9"/>
      <color indexed="81"/>
      <name val="Calibri"/>
      <family val="2"/>
    </font>
    <font>
      <b/>
      <sz val="10"/>
      <color rgb="FF0070C0"/>
      <name val="Arial"/>
      <family val="2"/>
    </font>
    <font>
      <b/>
      <sz val="10"/>
      <color rgb="FF0070C0"/>
      <name val="Calibri"/>
      <family val="2"/>
    </font>
    <font>
      <sz val="10"/>
      <color rgb="FFFF0000"/>
      <name val="Arial"/>
      <family val="2"/>
    </font>
    <font>
      <sz val="10"/>
      <color rgb="FFFF0000"/>
      <name val="Calibri"/>
      <family val="2"/>
    </font>
    <font>
      <b/>
      <sz val="10"/>
      <color rgb="FF0070C0"/>
      <name val="Symbol"/>
      <family val="1"/>
      <charset val="2"/>
    </font>
    <font>
      <sz val="10"/>
      <color theme="0" tint="-0.34998626667073579"/>
      <name val="Symbol"/>
      <family val="1"/>
      <charset val="2"/>
    </font>
    <font>
      <sz val="10"/>
      <color theme="0" tint="-0.34998626667073579"/>
      <name val="Arial"/>
      <family val="2"/>
    </font>
    <font>
      <sz val="10"/>
      <color theme="0" tint="-0.34998626667073579"/>
      <name val="Calibri"/>
      <family val="2"/>
    </font>
    <font>
      <vertAlign val="subscript"/>
      <sz val="14"/>
      <color theme="0" tint="-0.34998626667073579"/>
      <name val="Arial"/>
      <family val="2"/>
    </font>
    <font>
      <sz val="12"/>
      <color theme="0" tint="-0.34998626667073579"/>
      <name val="Arial"/>
      <family val="2"/>
    </font>
    <font>
      <sz val="8"/>
      <color theme="0" tint="-0.34998626667073579"/>
      <name val="Arial"/>
      <family val="2"/>
    </font>
    <font>
      <b/>
      <sz val="10"/>
      <color indexed="10"/>
      <name val="Cambria"/>
      <family val="1"/>
      <scheme val="major"/>
    </font>
    <font>
      <b/>
      <sz val="10"/>
      <name val="Calibri"/>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28">
    <xf numFmtId="0" fontId="0" fillId="0" borderId="0" xfId="0"/>
    <xf numFmtId="2" fontId="0" fillId="0" borderId="0" xfId="0" applyNumberFormat="1"/>
    <xf numFmtId="0" fontId="0" fillId="2" borderId="0" xfId="0" applyFill="1"/>
    <xf numFmtId="2" fontId="0" fillId="2" borderId="0" xfId="0" applyNumberFormat="1" applyFill="1"/>
    <xf numFmtId="2" fontId="3" fillId="2" borderId="2" xfId="0" applyNumberFormat="1" applyFont="1" applyFill="1" applyBorder="1"/>
    <xf numFmtId="2" fontId="3" fillId="2" borderId="3" xfId="0" applyNumberFormat="1" applyFont="1" applyFill="1" applyBorder="1"/>
    <xf numFmtId="0" fontId="6" fillId="2" borderId="1" xfId="0" applyFont="1" applyFill="1" applyBorder="1"/>
    <xf numFmtId="0" fontId="6" fillId="2" borderId="3" xfId="0" applyFont="1" applyFill="1" applyBorder="1"/>
    <xf numFmtId="0" fontId="0" fillId="3" borderId="7" xfId="0" applyFill="1" applyBorder="1"/>
    <xf numFmtId="2" fontId="0" fillId="3" borderId="7" xfId="0" applyNumberFormat="1" applyFill="1" applyBorder="1"/>
    <xf numFmtId="0" fontId="0" fillId="3" borderId="0" xfId="0" applyFill="1" applyBorder="1"/>
    <xf numFmtId="0" fontId="4" fillId="3" borderId="0" xfId="0" applyFont="1" applyFill="1" applyBorder="1" applyAlignment="1">
      <alignment horizontal="center" vertical="center"/>
    </xf>
    <xf numFmtId="0" fontId="0" fillId="3" borderId="8" xfId="0" applyFill="1" applyBorder="1"/>
    <xf numFmtId="2" fontId="0" fillId="3" borderId="0" xfId="0" applyNumberFormat="1" applyFill="1" applyBorder="1"/>
    <xf numFmtId="0" fontId="0" fillId="3" borderId="9" xfId="0" applyFill="1" applyBorder="1"/>
    <xf numFmtId="0" fontId="0" fillId="3" borderId="10" xfId="0" applyFill="1" applyBorder="1"/>
    <xf numFmtId="0" fontId="0" fillId="3" borderId="11" xfId="0" applyFill="1" applyBorder="1"/>
    <xf numFmtId="0" fontId="0" fillId="3" borderId="0" xfId="0" applyFill="1" applyBorder="1" applyAlignment="1">
      <alignment horizontal="center"/>
    </xf>
    <xf numFmtId="2" fontId="2" fillId="2" borderId="5" xfId="0" applyNumberFormat="1" applyFont="1" applyFill="1" applyBorder="1"/>
    <xf numFmtId="0" fontId="6" fillId="2" borderId="2" xfId="0" applyFont="1" applyFill="1" applyBorder="1"/>
    <xf numFmtId="2" fontId="2" fillId="2" borderId="6" xfId="0" applyNumberFormat="1" applyFont="1" applyFill="1" applyBorder="1"/>
    <xf numFmtId="2" fontId="2" fillId="2" borderId="12" xfId="0" applyNumberFormat="1" applyFont="1" applyFill="1" applyBorder="1"/>
    <xf numFmtId="0" fontId="0" fillId="6" borderId="0" xfId="0" applyFill="1" applyBorder="1"/>
    <xf numFmtId="0" fontId="0" fillId="2" borderId="0" xfId="0" applyFill="1" applyAlignment="1">
      <alignment horizontal="left"/>
    </xf>
    <xf numFmtId="0" fontId="0" fillId="3" borderId="7" xfId="0" applyFill="1" applyBorder="1" applyAlignment="1">
      <alignment horizontal="left"/>
    </xf>
    <xf numFmtId="0" fontId="4" fillId="3" borderId="0" xfId="0" applyFont="1" applyFill="1" applyBorder="1" applyAlignment="1">
      <alignment horizontal="left" vertical="center"/>
    </xf>
    <xf numFmtId="0" fontId="0" fillId="3" borderId="0" xfId="0" applyFill="1" applyBorder="1" applyAlignment="1">
      <alignment horizontal="left"/>
    </xf>
    <xf numFmtId="0" fontId="0" fillId="0" borderId="0" xfId="0" applyAlignment="1">
      <alignment horizontal="left"/>
    </xf>
    <xf numFmtId="0" fontId="0" fillId="6" borderId="7" xfId="0" applyFill="1" applyBorder="1"/>
    <xf numFmtId="0" fontId="0" fillId="6" borderId="13" xfId="0" applyFill="1" applyBorder="1"/>
    <xf numFmtId="0" fontId="0" fillId="6" borderId="27" xfId="0" applyFill="1" applyBorder="1"/>
    <xf numFmtId="0" fontId="0" fillId="6" borderId="10" xfId="0" applyFill="1" applyBorder="1"/>
    <xf numFmtId="0" fontId="0" fillId="6" borderId="28" xfId="0" applyFill="1" applyBorder="1"/>
    <xf numFmtId="0" fontId="8" fillId="3" borderId="0" xfId="0" applyFont="1" applyFill="1" applyBorder="1" applyAlignment="1">
      <alignment horizontal="left"/>
    </xf>
    <xf numFmtId="2" fontId="2" fillId="2" borderId="18" xfId="0" applyNumberFormat="1" applyFont="1" applyFill="1" applyBorder="1"/>
    <xf numFmtId="2" fontId="2" fillId="2" borderId="22" xfId="0" applyNumberFormat="1" applyFont="1" applyFill="1" applyBorder="1"/>
    <xf numFmtId="2" fontId="2" fillId="6" borderId="0" xfId="0" applyNumberFormat="1" applyFont="1" applyFill="1" applyBorder="1"/>
    <xf numFmtId="0" fontId="0" fillId="6" borderId="8" xfId="0" applyFill="1" applyBorder="1"/>
    <xf numFmtId="0" fontId="6" fillId="2" borderId="31" xfId="0" applyFont="1" applyFill="1" applyBorder="1"/>
    <xf numFmtId="0" fontId="5" fillId="6" borderId="15" xfId="0" applyFont="1" applyFill="1" applyBorder="1" applyAlignment="1">
      <alignment horizontal="left" vertical="center"/>
    </xf>
    <xf numFmtId="0" fontId="5" fillId="6" borderId="15" xfId="0" applyFont="1" applyFill="1" applyBorder="1" applyAlignment="1">
      <alignment horizontal="center" vertical="center"/>
    </xf>
    <xf numFmtId="0" fontId="10" fillId="0" borderId="3" xfId="0" applyFont="1" applyBorder="1"/>
    <xf numFmtId="0" fontId="8" fillId="6" borderId="0" xfId="0" applyFont="1" applyFill="1" applyBorder="1"/>
    <xf numFmtId="0" fontId="0" fillId="6" borderId="0" xfId="0" applyFill="1" applyBorder="1" applyAlignment="1">
      <alignment horizontal="left"/>
    </xf>
    <xf numFmtId="0" fontId="0" fillId="6" borderId="0" xfId="0" applyFill="1" applyBorder="1" applyAlignment="1"/>
    <xf numFmtId="0" fontId="8" fillId="2" borderId="1" xfId="0" applyFont="1" applyFill="1" applyBorder="1"/>
    <xf numFmtId="0" fontId="8" fillId="2" borderId="2" xfId="0" applyFont="1" applyFill="1" applyBorder="1"/>
    <xf numFmtId="2" fontId="12" fillId="2" borderId="4" xfId="0" applyNumberFormat="1" applyFont="1" applyFill="1" applyBorder="1"/>
    <xf numFmtId="2" fontId="12" fillId="2" borderId="5" xfId="0" applyNumberFormat="1" applyFont="1" applyFill="1" applyBorder="1"/>
    <xf numFmtId="2" fontId="10" fillId="2" borderId="41" xfId="0" applyNumberFormat="1" applyFont="1" applyFill="1" applyBorder="1"/>
    <xf numFmtId="0" fontId="10" fillId="2" borderId="31" xfId="0" applyFont="1" applyFill="1" applyBorder="1"/>
    <xf numFmtId="2" fontId="10" fillId="2" borderId="5" xfId="0" applyNumberFormat="1" applyFont="1" applyFill="1" applyBorder="1"/>
    <xf numFmtId="0" fontId="0" fillId="6" borderId="7" xfId="0" applyFill="1" applyBorder="1" applyAlignment="1"/>
    <xf numFmtId="0" fontId="0" fillId="6" borderId="8" xfId="0" applyFill="1" applyBorder="1" applyAlignment="1"/>
    <xf numFmtId="0" fontId="0" fillId="0" borderId="0" xfId="0" applyFill="1" applyBorder="1" applyAlignment="1"/>
    <xf numFmtId="2" fontId="10" fillId="2" borderId="6" xfId="0" applyNumberFormat="1" applyFont="1" applyFill="1" applyBorder="1"/>
    <xf numFmtId="0" fontId="10" fillId="2" borderId="3" xfId="0" applyFont="1" applyFill="1" applyBorder="1"/>
    <xf numFmtId="0" fontId="8" fillId="6" borderId="0" xfId="0" applyFont="1" applyFill="1" applyBorder="1" applyAlignment="1"/>
    <xf numFmtId="0" fontId="2" fillId="6" borderId="0" xfId="0" applyFont="1" applyFill="1" applyBorder="1"/>
    <xf numFmtId="0" fontId="13" fillId="6" borderId="27" xfId="0" applyFont="1" applyFill="1" applyBorder="1"/>
    <xf numFmtId="0" fontId="0" fillId="0" borderId="0" xfId="0" applyFill="1"/>
    <xf numFmtId="0" fontId="0" fillId="6" borderId="14" xfId="0" applyFill="1" applyBorder="1" applyAlignment="1"/>
    <xf numFmtId="0" fontId="0" fillId="0" borderId="0" xfId="0" applyFill="1" applyBorder="1"/>
    <xf numFmtId="0" fontId="0" fillId="6" borderId="0" xfId="0" applyFill="1"/>
    <xf numFmtId="0" fontId="0" fillId="0" borderId="0" xfId="0" applyBorder="1"/>
    <xf numFmtId="0" fontId="13" fillId="6" borderId="42" xfId="0" applyFont="1" applyFill="1" applyBorder="1"/>
    <xf numFmtId="0" fontId="13" fillId="6" borderId="2" xfId="0" applyFont="1" applyFill="1" applyBorder="1" applyAlignment="1">
      <alignment horizontal="left"/>
    </xf>
    <xf numFmtId="2" fontId="13" fillId="6" borderId="2" xfId="0" applyNumberFormat="1" applyFont="1" applyFill="1" applyBorder="1" applyAlignment="1">
      <alignment horizontal="left"/>
    </xf>
    <xf numFmtId="0" fontId="13" fillId="6" borderId="43" xfId="0" applyFont="1" applyFill="1" applyBorder="1"/>
    <xf numFmtId="0" fontId="13" fillId="6" borderId="3" xfId="0" applyFont="1" applyFill="1" applyBorder="1" applyAlignment="1">
      <alignment horizontal="left"/>
    </xf>
    <xf numFmtId="0" fontId="13" fillId="6" borderId="27" xfId="0" applyFont="1" applyFill="1" applyBorder="1" applyAlignment="1"/>
    <xf numFmtId="0" fontId="0" fillId="0" borderId="0" xfId="0" applyAlignment="1"/>
    <xf numFmtId="2" fontId="18" fillId="0" borderId="0" xfId="0" applyNumberFormat="1" applyFont="1"/>
    <xf numFmtId="2" fontId="19" fillId="0" borderId="0" xfId="0" applyNumberFormat="1" applyFont="1" applyAlignment="1">
      <alignment horizontal="left"/>
    </xf>
    <xf numFmtId="0" fontId="19" fillId="0" borderId="0" xfId="0" applyFont="1"/>
    <xf numFmtId="0" fontId="9" fillId="6" borderId="0" xfId="0" applyFont="1" applyFill="1" applyBorder="1"/>
    <xf numFmtId="0" fontId="13" fillId="6" borderId="28" xfId="0" applyFont="1" applyFill="1" applyBorder="1"/>
    <xf numFmtId="0" fontId="8" fillId="0" borderId="0" xfId="0" applyFont="1" applyFill="1" applyBorder="1" applyAlignment="1">
      <alignment horizontal="left"/>
    </xf>
    <xf numFmtId="0" fontId="0" fillId="0" borderId="0" xfId="0" applyFill="1" applyBorder="1" applyAlignment="1">
      <alignment horizontal="left"/>
    </xf>
    <xf numFmtId="2" fontId="2" fillId="0" borderId="0" xfId="0" applyNumberFormat="1" applyFont="1" applyFill="1" applyBorder="1"/>
    <xf numFmtId="0" fontId="10" fillId="0" borderId="0" xfId="0" applyFont="1" applyFill="1" applyBorder="1"/>
    <xf numFmtId="0" fontId="13" fillId="0" borderId="0" xfId="0" applyFont="1" applyFill="1" applyBorder="1"/>
    <xf numFmtId="0" fontId="0" fillId="6" borderId="9" xfId="0" applyFill="1" applyBorder="1"/>
    <xf numFmtId="0" fontId="8" fillId="6" borderId="10" xfId="0" applyFont="1" applyFill="1" applyBorder="1" applyAlignment="1">
      <alignment horizontal="left"/>
    </xf>
    <xf numFmtId="0" fontId="0" fillId="6" borderId="10" xfId="0" applyFill="1" applyBorder="1" applyAlignment="1">
      <alignment horizontal="left"/>
    </xf>
    <xf numFmtId="2" fontId="2" fillId="6" borderId="10" xfId="0" applyNumberFormat="1" applyFont="1" applyFill="1" applyBorder="1"/>
    <xf numFmtId="0" fontId="10" fillId="6" borderId="10" xfId="0" applyFont="1" applyFill="1" applyBorder="1"/>
    <xf numFmtId="2" fontId="2" fillId="6" borderId="7" xfId="0" applyNumberFormat="1" applyFont="1" applyFill="1" applyBorder="1"/>
    <xf numFmtId="0" fontId="6" fillId="6" borderId="7" xfId="0" applyFont="1" applyFill="1" applyBorder="1"/>
    <xf numFmtId="0" fontId="0" fillId="6" borderId="7" xfId="0" applyFill="1" applyBorder="1" applyAlignment="1">
      <alignment horizontal="left"/>
    </xf>
    <xf numFmtId="2" fontId="0" fillId="6" borderId="0" xfId="0" applyNumberFormat="1" applyFill="1" applyBorder="1"/>
    <xf numFmtId="0" fontId="0" fillId="0" borderId="7" xfId="0" applyFill="1" applyBorder="1"/>
    <xf numFmtId="0" fontId="8" fillId="0" borderId="0" xfId="0" applyFont="1" applyFill="1" applyBorder="1"/>
    <xf numFmtId="2" fontId="0" fillId="0" borderId="0" xfId="0" applyNumberFormat="1" applyFill="1" applyBorder="1"/>
    <xf numFmtId="0" fontId="0" fillId="0" borderId="0" xfId="0" applyFill="1" applyAlignment="1">
      <alignment horizontal="left"/>
    </xf>
    <xf numFmtId="2" fontId="0" fillId="0" borderId="0" xfId="0" applyNumberFormat="1" applyFill="1"/>
    <xf numFmtId="0" fontId="0" fillId="8" borderId="11" xfId="0" applyFill="1" applyBorder="1"/>
    <xf numFmtId="0" fontId="0" fillId="8" borderId="7" xfId="0" applyFill="1" applyBorder="1" applyAlignment="1">
      <alignment horizontal="left"/>
    </xf>
    <xf numFmtId="2" fontId="0" fillId="8" borderId="7" xfId="0" applyNumberFormat="1" applyFill="1" applyBorder="1"/>
    <xf numFmtId="0" fontId="0" fillId="8" borderId="7" xfId="0" applyFill="1" applyBorder="1"/>
    <xf numFmtId="0" fontId="0" fillId="8" borderId="13" xfId="0" applyFill="1" applyBorder="1"/>
    <xf numFmtId="0" fontId="0" fillId="8" borderId="8" xfId="0" applyFill="1" applyBorder="1"/>
    <xf numFmtId="0" fontId="0" fillId="8" borderId="0" xfId="0" applyFill="1" applyBorder="1" applyAlignment="1">
      <alignment horizontal="left"/>
    </xf>
    <xf numFmtId="0" fontId="0" fillId="8" borderId="27" xfId="0" applyFill="1" applyBorder="1"/>
    <xf numFmtId="0" fontId="0" fillId="8" borderId="28" xfId="0" applyFill="1" applyBorder="1"/>
    <xf numFmtId="0" fontId="0" fillId="8" borderId="9" xfId="0" applyFill="1" applyBorder="1"/>
    <xf numFmtId="0" fontId="0" fillId="8" borderId="10" xfId="0" applyFill="1" applyBorder="1" applyAlignment="1">
      <alignment horizontal="left"/>
    </xf>
    <xf numFmtId="2" fontId="0" fillId="8" borderId="10" xfId="0" applyNumberFormat="1" applyFill="1" applyBorder="1"/>
    <xf numFmtId="0" fontId="0" fillId="8" borderId="10" xfId="0" applyFill="1" applyBorder="1"/>
    <xf numFmtId="0" fontId="9" fillId="3" borderId="0" xfId="0" applyFont="1" applyFill="1" applyBorder="1" applyAlignment="1"/>
    <xf numFmtId="2" fontId="18" fillId="3" borderId="0" xfId="0" applyNumberFormat="1" applyFont="1" applyFill="1" applyBorder="1"/>
    <xf numFmtId="0" fontId="18" fillId="3" borderId="0" xfId="0" applyFont="1" applyFill="1" applyBorder="1"/>
    <xf numFmtId="2" fontId="3" fillId="2" borderId="31" xfId="0" applyNumberFormat="1" applyFont="1" applyFill="1" applyBorder="1"/>
    <xf numFmtId="2" fontId="12" fillId="0" borderId="2" xfId="0" applyNumberFormat="1" applyFont="1" applyBorder="1"/>
    <xf numFmtId="2" fontId="18" fillId="2" borderId="5" xfId="0" applyNumberFormat="1" applyFont="1" applyFill="1" applyBorder="1"/>
    <xf numFmtId="0" fontId="22" fillId="2" borderId="31" xfId="0" applyFont="1" applyFill="1" applyBorder="1"/>
    <xf numFmtId="2" fontId="24" fillId="2" borderId="4" xfId="0" applyNumberFormat="1" applyFont="1" applyFill="1" applyBorder="1"/>
    <xf numFmtId="0" fontId="24" fillId="2" borderId="1" xfId="0" applyFont="1" applyFill="1" applyBorder="1"/>
    <xf numFmtId="2" fontId="24" fillId="2" borderId="5" xfId="0" applyNumberFormat="1" applyFont="1" applyFill="1" applyBorder="1"/>
    <xf numFmtId="0" fontId="24" fillId="2" borderId="2" xfId="0" applyFont="1" applyFill="1" applyBorder="1"/>
    <xf numFmtId="0" fontId="23" fillId="2" borderId="2" xfId="0" applyFont="1" applyFill="1" applyBorder="1"/>
    <xf numFmtId="2" fontId="24" fillId="2" borderId="6" xfId="0" applyNumberFormat="1" applyFont="1" applyFill="1" applyBorder="1"/>
    <xf numFmtId="0" fontId="23" fillId="2" borderId="3" xfId="0" applyFont="1" applyFill="1" applyBorder="1"/>
    <xf numFmtId="0" fontId="24" fillId="6" borderId="7" xfId="0" applyFont="1" applyFill="1" applyBorder="1" applyAlignment="1"/>
    <xf numFmtId="0" fontId="24" fillId="3" borderId="0" xfId="0" applyFont="1" applyFill="1" applyBorder="1" applyAlignment="1">
      <alignment horizontal="left"/>
    </xf>
    <xf numFmtId="0" fontId="24" fillId="6" borderId="0" xfId="0" applyFont="1" applyFill="1" applyBorder="1" applyAlignment="1">
      <alignment horizontal="left"/>
    </xf>
    <xf numFmtId="0" fontId="24" fillId="6" borderId="0" xfId="0" applyFont="1" applyFill="1" applyAlignment="1"/>
    <xf numFmtId="0" fontId="24" fillId="6" borderId="0" xfId="0" applyFont="1" applyFill="1" applyBorder="1" applyAlignment="1"/>
    <xf numFmtId="2" fontId="2" fillId="2" borderId="41" xfId="0" applyNumberFormat="1" applyFont="1" applyFill="1" applyBorder="1"/>
    <xf numFmtId="0" fontId="18" fillId="7" borderId="14" xfId="0" applyFont="1" applyFill="1" applyBorder="1" applyAlignment="1"/>
    <xf numFmtId="0" fontId="18" fillId="7" borderId="15" xfId="0" applyFont="1" applyFill="1" applyBorder="1" applyAlignment="1"/>
    <xf numFmtId="0" fontId="18" fillId="7" borderId="16" xfId="0" applyFont="1" applyFill="1" applyBorder="1" applyAlignment="1"/>
    <xf numFmtId="0" fontId="0" fillId="6" borderId="0" xfId="0" applyFill="1" applyAlignment="1">
      <alignment horizontal="left"/>
    </xf>
    <xf numFmtId="2" fontId="0" fillId="6" borderId="0" xfId="0" applyNumberFormat="1" applyFill="1"/>
    <xf numFmtId="2" fontId="2" fillId="8" borderId="44" xfId="0" applyNumberFormat="1" applyFont="1" applyFill="1" applyBorder="1" applyAlignment="1">
      <alignment horizontal="center"/>
    </xf>
    <xf numFmtId="0" fontId="29" fillId="8" borderId="45" xfId="0" applyFont="1" applyFill="1" applyBorder="1" applyAlignment="1">
      <alignment horizontal="center"/>
    </xf>
    <xf numFmtId="0" fontId="13" fillId="6" borderId="24" xfId="0" applyFont="1" applyFill="1" applyBorder="1"/>
    <xf numFmtId="0" fontId="13" fillId="6" borderId="29" xfId="0" applyFont="1" applyFill="1" applyBorder="1" applyAlignment="1">
      <alignment horizontal="left"/>
    </xf>
    <xf numFmtId="2" fontId="7" fillId="3" borderId="5" xfId="0" applyNumberFormat="1" applyFont="1" applyFill="1" applyBorder="1" applyAlignment="1"/>
    <xf numFmtId="2" fontId="7" fillId="3" borderId="0" xfId="0" applyNumberFormat="1" applyFont="1" applyFill="1" applyBorder="1" applyAlignment="1"/>
    <xf numFmtId="2" fontId="7" fillId="6" borderId="2" xfId="0" applyNumberFormat="1" applyFont="1" applyFill="1" applyBorder="1" applyAlignment="1">
      <alignment horizontal="right"/>
    </xf>
    <xf numFmtId="0" fontId="7" fillId="3" borderId="0" xfId="0" applyFont="1" applyFill="1" applyBorder="1"/>
    <xf numFmtId="0" fontId="7" fillId="3" borderId="0" xfId="0" applyFont="1" applyFill="1" applyBorder="1" applyAlignment="1"/>
    <xf numFmtId="0" fontId="8" fillId="0" borderId="0" xfId="0" applyFont="1" applyBorder="1" applyAlignment="1">
      <alignment horizontal="center" wrapText="1"/>
    </xf>
    <xf numFmtId="0" fontId="20" fillId="2" borderId="24" xfId="0" applyFont="1" applyFill="1" applyBorder="1" applyAlignment="1">
      <alignment horizontal="right"/>
    </xf>
    <xf numFmtId="0" fontId="20" fillId="2" borderId="25" xfId="0" applyFont="1" applyFill="1" applyBorder="1" applyAlignment="1">
      <alignment horizontal="right"/>
    </xf>
    <xf numFmtId="0" fontId="20" fillId="2" borderId="26" xfId="0" applyFont="1" applyFill="1" applyBorder="1" applyAlignment="1">
      <alignment horizontal="right"/>
    </xf>
    <xf numFmtId="0" fontId="0" fillId="3" borderId="0" xfId="0" applyFill="1" applyBorder="1" applyAlignment="1">
      <alignment horizontal="center"/>
    </xf>
    <xf numFmtId="2" fontId="0" fillId="3" borderId="0" xfId="0" applyNumberFormat="1" applyFill="1" applyBorder="1" applyAlignment="1">
      <alignment horizontal="right"/>
    </xf>
    <xf numFmtId="0" fontId="0" fillId="3" borderId="8" xfId="0" applyFill="1" applyBorder="1" applyAlignment="1">
      <alignment horizontal="right"/>
    </xf>
    <xf numFmtId="0" fontId="0" fillId="3" borderId="0" xfId="0" applyFill="1" applyBorder="1" applyAlignment="1">
      <alignment horizontal="right"/>
    </xf>
    <xf numFmtId="0" fontId="7" fillId="8" borderId="14" xfId="0" applyFont="1" applyFill="1" applyBorder="1" applyAlignment="1">
      <alignment horizontal="center"/>
    </xf>
    <xf numFmtId="0" fontId="7" fillId="8" borderId="15" xfId="0" applyFont="1" applyFill="1" applyBorder="1" applyAlignment="1">
      <alignment horizontal="center"/>
    </xf>
    <xf numFmtId="0" fontId="7" fillId="8" borderId="16" xfId="0" applyFont="1" applyFill="1" applyBorder="1" applyAlignment="1">
      <alignment horizontal="center"/>
    </xf>
    <xf numFmtId="0" fontId="24" fillId="2" borderId="21" xfId="0" applyFont="1" applyFill="1" applyBorder="1" applyAlignment="1">
      <alignment horizontal="left"/>
    </xf>
    <xf numFmtId="0" fontId="24" fillId="2" borderId="22" xfId="0" applyFont="1" applyFill="1" applyBorder="1" applyAlignment="1">
      <alignment horizontal="left"/>
    </xf>
    <xf numFmtId="0" fontId="24" fillId="2" borderId="23" xfId="0" applyFont="1" applyFill="1" applyBorder="1" applyAlignment="1">
      <alignment horizontal="left"/>
    </xf>
    <xf numFmtId="0" fontId="8" fillId="2" borderId="24" xfId="0" applyFont="1" applyFill="1" applyBorder="1" applyAlignment="1">
      <alignment horizontal="right"/>
    </xf>
    <xf numFmtId="0" fontId="0" fillId="2" borderId="25" xfId="0" applyFill="1" applyBorder="1" applyAlignment="1">
      <alignment horizontal="right"/>
    </xf>
    <xf numFmtId="0" fontId="0" fillId="2" borderId="26" xfId="0" applyFill="1" applyBorder="1" applyAlignment="1">
      <alignment horizontal="right"/>
    </xf>
    <xf numFmtId="0" fontId="24" fillId="2" borderId="24" xfId="0" applyFont="1" applyFill="1" applyBorder="1" applyAlignment="1">
      <alignment horizontal="right"/>
    </xf>
    <xf numFmtId="0" fontId="24" fillId="2" borderId="25" xfId="0" applyFont="1" applyFill="1" applyBorder="1" applyAlignment="1">
      <alignment horizontal="right"/>
    </xf>
    <xf numFmtId="0" fontId="24" fillId="2" borderId="26" xfId="0" applyFont="1" applyFill="1" applyBorder="1" applyAlignment="1">
      <alignment horizontal="right"/>
    </xf>
    <xf numFmtId="0" fontId="23" fillId="2" borderId="17" xfId="0" applyFont="1" applyFill="1" applyBorder="1" applyAlignment="1">
      <alignment horizontal="right"/>
    </xf>
    <xf numFmtId="0" fontId="23" fillId="2" borderId="18" xfId="0" applyFont="1" applyFill="1" applyBorder="1" applyAlignment="1">
      <alignment horizontal="right"/>
    </xf>
    <xf numFmtId="0" fontId="23" fillId="2" borderId="20" xfId="0" applyFont="1" applyFill="1" applyBorder="1" applyAlignment="1">
      <alignment horizontal="right"/>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14" fillId="0" borderId="11" xfId="1" applyBorder="1" applyAlignment="1">
      <alignment horizontal="center"/>
    </xf>
    <xf numFmtId="0" fontId="14" fillId="0" borderId="7" xfId="1" applyBorder="1" applyAlignment="1">
      <alignment horizontal="center"/>
    </xf>
    <xf numFmtId="0" fontId="14" fillId="0" borderId="15" xfId="1" applyBorder="1" applyAlignment="1">
      <alignment horizontal="center"/>
    </xf>
    <xf numFmtId="0" fontId="14" fillId="0" borderId="16" xfId="1" applyBorder="1" applyAlignment="1">
      <alignment horizontal="center"/>
    </xf>
    <xf numFmtId="0" fontId="8" fillId="0" borderId="0" xfId="0" applyFont="1" applyAlignment="1">
      <alignment horizontal="center" wrapText="1"/>
    </xf>
    <xf numFmtId="0" fontId="0" fillId="0" borderId="0" xfId="0" applyAlignment="1">
      <alignment horizontal="center"/>
    </xf>
    <xf numFmtId="0" fontId="7" fillId="0" borderId="7" xfId="0" applyFont="1" applyFill="1" applyBorder="1" applyAlignment="1">
      <alignment horizontal="center"/>
    </xf>
    <xf numFmtId="0" fontId="24" fillId="2" borderId="24" xfId="0" applyFont="1" applyFill="1" applyBorder="1" applyAlignment="1">
      <alignment horizontal="left"/>
    </xf>
    <xf numFmtId="0" fontId="24" fillId="2" borderId="25" xfId="0" applyFont="1" applyFill="1" applyBorder="1" applyAlignment="1">
      <alignment horizontal="left"/>
    </xf>
    <xf numFmtId="0" fontId="24" fillId="2" borderId="29" xfId="0" applyFont="1" applyFill="1" applyBorder="1" applyAlignment="1">
      <alignment horizontal="left"/>
    </xf>
    <xf numFmtId="0" fontId="24" fillId="2" borderId="17" xfId="0" applyFont="1" applyFill="1" applyBorder="1" applyAlignment="1">
      <alignment horizontal="left"/>
    </xf>
    <xf numFmtId="0" fontId="24" fillId="2" borderId="18" xfId="0" applyFont="1" applyFill="1" applyBorder="1" applyAlignment="1">
      <alignment horizontal="left"/>
    </xf>
    <xf numFmtId="0" fontId="24" fillId="2" borderId="19" xfId="0" applyFont="1" applyFill="1" applyBorder="1" applyAlignment="1">
      <alignment horizontal="left"/>
    </xf>
    <xf numFmtId="0" fontId="2" fillId="4" borderId="11" xfId="0" applyFont="1" applyFill="1" applyBorder="1" applyAlignment="1">
      <alignment horizontal="center"/>
    </xf>
    <xf numFmtId="0" fontId="2" fillId="4" borderId="7"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4" fillId="2" borderId="30" xfId="0" applyFont="1" applyFill="1" applyBorder="1" applyAlignment="1">
      <alignment horizontal="left"/>
    </xf>
    <xf numFmtId="0" fontId="24" fillId="2" borderId="38" xfId="0" applyFont="1" applyFill="1" applyBorder="1" applyAlignment="1">
      <alignment horizontal="left"/>
    </xf>
    <xf numFmtId="0" fontId="24" fillId="2" borderId="39" xfId="0" applyFont="1" applyFill="1" applyBorder="1" applyAlignment="1">
      <alignment horizontal="left"/>
    </xf>
    <xf numFmtId="0" fontId="24" fillId="2" borderId="26" xfId="0" applyFont="1" applyFill="1" applyBorder="1" applyAlignment="1">
      <alignment horizontal="left"/>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3" xfId="0" applyFont="1" applyFill="1" applyBorder="1" applyAlignment="1">
      <alignment horizontal="center" vertical="center"/>
    </xf>
    <xf numFmtId="0" fontId="12" fillId="2" borderId="17" xfId="0" applyFont="1" applyFill="1" applyBorder="1" applyAlignment="1">
      <alignment horizontal="right"/>
    </xf>
    <xf numFmtId="0" fontId="12" fillId="2" borderId="18" xfId="0" applyFont="1" applyFill="1" applyBorder="1" applyAlignment="1">
      <alignment horizontal="right"/>
    </xf>
    <xf numFmtId="0" fontId="12" fillId="2" borderId="20" xfId="0" applyFont="1" applyFill="1" applyBorder="1" applyAlignment="1">
      <alignment horizontal="right"/>
    </xf>
    <xf numFmtId="0" fontId="18" fillId="4" borderId="14" xfId="0" applyFont="1" applyFill="1" applyBorder="1" applyAlignment="1">
      <alignment horizontal="center"/>
    </xf>
    <xf numFmtId="0" fontId="20" fillId="2" borderId="21" xfId="0" applyFont="1" applyFill="1" applyBorder="1" applyAlignment="1">
      <alignment horizontal="right"/>
    </xf>
    <xf numFmtId="0" fontId="20" fillId="2" borderId="22" xfId="0" applyFont="1" applyFill="1" applyBorder="1" applyAlignment="1">
      <alignment horizontal="right"/>
    </xf>
    <xf numFmtId="0" fontId="20" fillId="2" borderId="23" xfId="0" applyFont="1" applyFill="1" applyBorder="1" applyAlignment="1">
      <alignment horizontal="right"/>
    </xf>
    <xf numFmtId="0" fontId="20" fillId="2" borderId="38" xfId="0" applyFont="1" applyFill="1" applyBorder="1" applyAlignment="1">
      <alignment horizontal="right"/>
    </xf>
    <xf numFmtId="0" fontId="20" fillId="2" borderId="39" xfId="0" applyFont="1" applyFill="1" applyBorder="1" applyAlignment="1">
      <alignment horizontal="right"/>
    </xf>
    <xf numFmtId="0" fontId="20" fillId="2" borderId="40" xfId="0" applyFont="1" applyFill="1" applyBorder="1" applyAlignment="1">
      <alignment horizontal="right"/>
    </xf>
    <xf numFmtId="0" fontId="2" fillId="4" borderId="14" xfId="0" applyFont="1" applyFill="1" applyBorder="1" applyAlignment="1">
      <alignment horizontal="center"/>
    </xf>
    <xf numFmtId="0" fontId="13" fillId="6" borderId="17" xfId="0" applyFont="1" applyFill="1" applyBorder="1" applyAlignment="1">
      <alignment horizontal="center"/>
    </xf>
    <xf numFmtId="0" fontId="13" fillId="6" borderId="19" xfId="0" applyFont="1" applyFill="1" applyBorder="1" applyAlignment="1">
      <alignment horizontal="center"/>
    </xf>
    <xf numFmtId="0" fontId="4" fillId="5" borderId="32"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20" fillId="2" borderId="17" xfId="0" applyFont="1" applyFill="1" applyBorder="1" applyAlignment="1">
      <alignment horizontal="left"/>
    </xf>
    <xf numFmtId="0" fontId="20" fillId="2" borderId="18" xfId="0" applyFont="1" applyFill="1" applyBorder="1" applyAlignment="1">
      <alignment horizontal="left"/>
    </xf>
    <xf numFmtId="0" fontId="20" fillId="2" borderId="19" xfId="0" applyFont="1" applyFill="1" applyBorder="1" applyAlignment="1">
      <alignment horizontal="left"/>
    </xf>
    <xf numFmtId="0" fontId="20" fillId="2" borderId="21" xfId="0" applyFont="1" applyFill="1" applyBorder="1" applyAlignment="1">
      <alignment horizontal="left"/>
    </xf>
    <xf numFmtId="0" fontId="20" fillId="2" borderId="22" xfId="0" applyFont="1" applyFill="1" applyBorder="1" applyAlignment="1">
      <alignment horizontal="left"/>
    </xf>
    <xf numFmtId="0" fontId="20" fillId="2" borderId="30" xfId="0" applyFont="1" applyFill="1" applyBorder="1" applyAlignment="1">
      <alignment horizontal="left"/>
    </xf>
    <xf numFmtId="0" fontId="24" fillId="2" borderId="9" xfId="0" applyFont="1" applyFill="1" applyBorder="1" applyAlignment="1">
      <alignment horizontal="left"/>
    </xf>
    <xf numFmtId="0" fontId="24" fillId="2" borderId="10" xfId="0" applyFont="1" applyFill="1" applyBorder="1" applyAlignment="1">
      <alignment horizontal="left"/>
    </xf>
    <xf numFmtId="0" fontId="24" fillId="2" borderId="28" xfId="0" applyFont="1" applyFill="1" applyBorder="1" applyAlignment="1">
      <alignment horizontal="left"/>
    </xf>
    <xf numFmtId="0" fontId="8" fillId="2" borderId="21" xfId="0" applyFont="1" applyFill="1" applyBorder="1" applyAlignment="1">
      <alignment horizontal="right"/>
    </xf>
    <xf numFmtId="0" fontId="0" fillId="2" borderId="22" xfId="0" applyFill="1" applyBorder="1" applyAlignment="1">
      <alignment horizontal="right"/>
    </xf>
    <xf numFmtId="0" fontId="0" fillId="2" borderId="23" xfId="0" applyFill="1" applyBorder="1" applyAlignment="1">
      <alignment horizontal="right"/>
    </xf>
    <xf numFmtId="2" fontId="10" fillId="0" borderId="4" xfId="0" applyNumberFormat="1" applyFont="1" applyBorder="1"/>
    <xf numFmtId="2" fontId="10" fillId="0" borderId="5" xfId="0" applyNumberFormat="1" applyFont="1" applyBorder="1"/>
    <xf numFmtId="2" fontId="10" fillId="6" borderId="5" xfId="0" applyNumberFormat="1" applyFont="1" applyFill="1" applyBorder="1"/>
    <xf numFmtId="2" fontId="10" fillId="0" borderId="6" xfId="0" applyNumberFormat="1" applyFont="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236220</xdr:colOff>
      <xdr:row>8</xdr:row>
      <xdr:rowOff>53340</xdr:rowOff>
    </xdr:from>
    <xdr:to>
      <xdr:col>16</xdr:col>
      <xdr:colOff>129540</xdr:colOff>
      <xdr:row>8</xdr:row>
      <xdr:rowOff>76200</xdr:rowOff>
    </xdr:to>
    <xdr:sp macro="" textlink="">
      <xdr:nvSpPr>
        <xdr:cNvPr id="1183" name="Line 1">
          <a:extLst>
            <a:ext uri="{FF2B5EF4-FFF2-40B4-BE49-F238E27FC236}">
              <a16:creationId xmlns:a16="http://schemas.microsoft.com/office/drawing/2014/main" id="{00000000-0008-0000-0000-00009F040000}"/>
            </a:ext>
          </a:extLst>
        </xdr:cNvPr>
        <xdr:cNvSpPr>
          <a:spLocks noChangeShapeType="1"/>
        </xdr:cNvSpPr>
      </xdr:nvSpPr>
      <xdr:spPr bwMode="auto">
        <a:xfrm>
          <a:off x="3642360" y="1478280"/>
          <a:ext cx="1912620" cy="22860"/>
        </a:xfrm>
        <a:prstGeom prst="line">
          <a:avLst/>
        </a:prstGeom>
        <a:noFill/>
        <a:ln w="28575">
          <a:solidFill>
            <a:srgbClr val="000000"/>
          </a:solidFill>
          <a:round/>
          <a:headEnd/>
          <a:tailEnd/>
        </a:ln>
      </xdr:spPr>
    </xdr:sp>
    <xdr:clientData/>
  </xdr:twoCellAnchor>
  <xdr:twoCellAnchor editAs="oneCell">
    <xdr:from>
      <xdr:col>16</xdr:col>
      <xdr:colOff>106680</xdr:colOff>
      <xdr:row>7</xdr:row>
      <xdr:rowOff>144780</xdr:rowOff>
    </xdr:from>
    <xdr:to>
      <xdr:col>17</xdr:col>
      <xdr:colOff>167640</xdr:colOff>
      <xdr:row>8</xdr:row>
      <xdr:rowOff>167640</xdr:rowOff>
    </xdr:to>
    <xdr:pic>
      <xdr:nvPicPr>
        <xdr:cNvPr id="1184" name="Picture 4">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24400" y="1638300"/>
          <a:ext cx="601980" cy="190500"/>
        </a:xfrm>
        <a:prstGeom prst="rect">
          <a:avLst/>
        </a:prstGeom>
        <a:noFill/>
        <a:ln w="9525">
          <a:noFill/>
          <a:miter lim="800000"/>
          <a:headEnd/>
          <a:tailEnd/>
        </a:ln>
      </xdr:spPr>
    </xdr:pic>
    <xdr:clientData/>
  </xdr:twoCellAnchor>
  <xdr:twoCellAnchor>
    <xdr:from>
      <xdr:col>16</xdr:col>
      <xdr:colOff>91440</xdr:colOff>
      <xdr:row>7</xdr:row>
      <xdr:rowOff>121920</xdr:rowOff>
    </xdr:from>
    <xdr:to>
      <xdr:col>17</xdr:col>
      <xdr:colOff>160020</xdr:colOff>
      <xdr:row>8</xdr:row>
      <xdr:rowOff>152400</xdr:rowOff>
    </xdr:to>
    <xdr:sp macro="" textlink="">
      <xdr:nvSpPr>
        <xdr:cNvPr id="1185" name="Rectangle 5">
          <a:extLst>
            <a:ext uri="{FF2B5EF4-FFF2-40B4-BE49-F238E27FC236}">
              <a16:creationId xmlns:a16="http://schemas.microsoft.com/office/drawing/2014/main" id="{00000000-0008-0000-0000-0000A1040000}"/>
            </a:ext>
          </a:extLst>
        </xdr:cNvPr>
        <xdr:cNvSpPr>
          <a:spLocks noChangeArrowheads="1"/>
        </xdr:cNvSpPr>
      </xdr:nvSpPr>
      <xdr:spPr bwMode="auto">
        <a:xfrm>
          <a:off x="4709160" y="1615440"/>
          <a:ext cx="624840" cy="205740"/>
        </a:xfrm>
        <a:prstGeom prst="rect">
          <a:avLst/>
        </a:prstGeom>
        <a:solidFill>
          <a:srgbClr val="FFFFFF">
            <a:alpha val="0"/>
          </a:srgbClr>
        </a:solidFill>
        <a:ln w="19050">
          <a:solidFill>
            <a:srgbClr val="000000"/>
          </a:solidFill>
          <a:miter lim="800000"/>
          <a:headEnd/>
          <a:tailEnd/>
        </a:ln>
      </xdr:spPr>
    </xdr:sp>
    <xdr:clientData/>
  </xdr:twoCellAnchor>
  <xdr:twoCellAnchor>
    <xdr:from>
      <xdr:col>17</xdr:col>
      <xdr:colOff>160020</xdr:colOff>
      <xdr:row>8</xdr:row>
      <xdr:rowOff>60960</xdr:rowOff>
    </xdr:from>
    <xdr:to>
      <xdr:col>20</xdr:col>
      <xdr:colOff>83820</xdr:colOff>
      <xdr:row>8</xdr:row>
      <xdr:rowOff>60960</xdr:rowOff>
    </xdr:to>
    <xdr:sp macro="" textlink="">
      <xdr:nvSpPr>
        <xdr:cNvPr id="1186" name="Line 6">
          <a:extLst>
            <a:ext uri="{FF2B5EF4-FFF2-40B4-BE49-F238E27FC236}">
              <a16:creationId xmlns:a16="http://schemas.microsoft.com/office/drawing/2014/main" id="{00000000-0008-0000-0000-0000A2040000}"/>
            </a:ext>
          </a:extLst>
        </xdr:cNvPr>
        <xdr:cNvSpPr>
          <a:spLocks noChangeShapeType="1"/>
        </xdr:cNvSpPr>
      </xdr:nvSpPr>
      <xdr:spPr bwMode="auto">
        <a:xfrm>
          <a:off x="5334000" y="1729740"/>
          <a:ext cx="1028700" cy="0"/>
        </a:xfrm>
        <a:prstGeom prst="line">
          <a:avLst/>
        </a:prstGeom>
        <a:noFill/>
        <a:ln w="28575">
          <a:solidFill>
            <a:srgbClr val="000000"/>
          </a:solidFill>
          <a:round/>
          <a:headEnd/>
          <a:tailEnd/>
        </a:ln>
      </xdr:spPr>
    </xdr:sp>
    <xdr:clientData/>
  </xdr:twoCellAnchor>
  <xdr:twoCellAnchor>
    <xdr:from>
      <xdr:col>12</xdr:col>
      <xdr:colOff>160020</xdr:colOff>
      <xdr:row>8</xdr:row>
      <xdr:rowOff>15240</xdr:rowOff>
    </xdr:from>
    <xdr:to>
      <xdr:col>12</xdr:col>
      <xdr:colOff>243840</xdr:colOff>
      <xdr:row>8</xdr:row>
      <xdr:rowOff>99060</xdr:rowOff>
    </xdr:to>
    <xdr:sp macro="" textlink="">
      <xdr:nvSpPr>
        <xdr:cNvPr id="1187" name="Oval 7">
          <a:extLst>
            <a:ext uri="{FF2B5EF4-FFF2-40B4-BE49-F238E27FC236}">
              <a16:creationId xmlns:a16="http://schemas.microsoft.com/office/drawing/2014/main" id="{00000000-0008-0000-0000-0000A3040000}"/>
            </a:ext>
          </a:extLst>
        </xdr:cNvPr>
        <xdr:cNvSpPr>
          <a:spLocks noChangeArrowheads="1"/>
        </xdr:cNvSpPr>
      </xdr:nvSpPr>
      <xdr:spPr bwMode="auto">
        <a:xfrm>
          <a:off x="3566160" y="1440180"/>
          <a:ext cx="83820" cy="83820"/>
        </a:xfrm>
        <a:prstGeom prst="ellipse">
          <a:avLst/>
        </a:prstGeom>
        <a:solidFill>
          <a:srgbClr val="FFFFFF"/>
        </a:solidFill>
        <a:ln w="9525">
          <a:solidFill>
            <a:srgbClr val="000000"/>
          </a:solidFill>
          <a:round/>
          <a:headEnd/>
          <a:tailEnd/>
        </a:ln>
      </xdr:spPr>
    </xdr:sp>
    <xdr:clientData/>
  </xdr:twoCellAnchor>
  <xdr:twoCellAnchor>
    <xdr:from>
      <xdr:col>15</xdr:col>
      <xdr:colOff>708660</xdr:colOff>
      <xdr:row>8</xdr:row>
      <xdr:rowOff>167640</xdr:rowOff>
    </xdr:from>
    <xdr:to>
      <xdr:col>16</xdr:col>
      <xdr:colOff>68580</xdr:colOff>
      <xdr:row>11</xdr:row>
      <xdr:rowOff>30480</xdr:rowOff>
    </xdr:to>
    <xdr:sp macro="" textlink="">
      <xdr:nvSpPr>
        <xdr:cNvPr id="1188" name="Line 8">
          <a:extLst>
            <a:ext uri="{FF2B5EF4-FFF2-40B4-BE49-F238E27FC236}">
              <a16:creationId xmlns:a16="http://schemas.microsoft.com/office/drawing/2014/main" id="{00000000-0008-0000-0000-0000A4040000}"/>
            </a:ext>
          </a:extLst>
        </xdr:cNvPr>
        <xdr:cNvSpPr>
          <a:spLocks noChangeShapeType="1"/>
        </xdr:cNvSpPr>
      </xdr:nvSpPr>
      <xdr:spPr bwMode="auto">
        <a:xfrm flipV="1">
          <a:off x="5021580" y="1493520"/>
          <a:ext cx="106680" cy="381000"/>
        </a:xfrm>
        <a:prstGeom prst="line">
          <a:avLst/>
        </a:prstGeom>
        <a:noFill/>
        <a:ln w="19050">
          <a:solidFill>
            <a:srgbClr val="000000"/>
          </a:solidFill>
          <a:round/>
          <a:headEnd/>
          <a:tailEnd type="triangle" w="med" len="med"/>
        </a:ln>
      </xdr:spPr>
    </xdr:sp>
    <xdr:clientData/>
  </xdr:twoCellAnchor>
  <xdr:twoCellAnchor>
    <xdr:from>
      <xdr:col>17</xdr:col>
      <xdr:colOff>190500</xdr:colOff>
      <xdr:row>8</xdr:row>
      <xdr:rowOff>114300</xdr:rowOff>
    </xdr:from>
    <xdr:to>
      <xdr:col>18</xdr:col>
      <xdr:colOff>7620</xdr:colOff>
      <xdr:row>11</xdr:row>
      <xdr:rowOff>38100</xdr:rowOff>
    </xdr:to>
    <xdr:sp macro="" textlink="">
      <xdr:nvSpPr>
        <xdr:cNvPr id="1189" name="Line 9">
          <a:extLst>
            <a:ext uri="{FF2B5EF4-FFF2-40B4-BE49-F238E27FC236}">
              <a16:creationId xmlns:a16="http://schemas.microsoft.com/office/drawing/2014/main" id="{00000000-0008-0000-0000-0000A5040000}"/>
            </a:ext>
          </a:extLst>
        </xdr:cNvPr>
        <xdr:cNvSpPr>
          <a:spLocks noChangeShapeType="1"/>
        </xdr:cNvSpPr>
      </xdr:nvSpPr>
      <xdr:spPr bwMode="auto">
        <a:xfrm flipH="1" flipV="1">
          <a:off x="5791200" y="1440180"/>
          <a:ext cx="289560" cy="441960"/>
        </a:xfrm>
        <a:prstGeom prst="line">
          <a:avLst/>
        </a:prstGeom>
        <a:noFill/>
        <a:ln w="19050">
          <a:solidFill>
            <a:srgbClr val="000000"/>
          </a:solidFill>
          <a:round/>
          <a:headEnd/>
          <a:tailEnd type="triangle" w="med" len="med"/>
        </a:ln>
      </xdr:spPr>
    </xdr:sp>
    <xdr:clientData/>
  </xdr:twoCellAnchor>
  <xdr:oneCellAnchor>
    <xdr:from>
      <xdr:col>22</xdr:col>
      <xdr:colOff>60960</xdr:colOff>
      <xdr:row>17</xdr:row>
      <xdr:rowOff>26670</xdr:rowOff>
    </xdr:from>
    <xdr:ext cx="914400"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781800" y="293751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ES" sz="1100"/>
        </a:p>
      </xdr:txBody>
    </xdr:sp>
    <xdr:clientData/>
  </xdr:oneCellAnchor>
  <xdr:oneCellAnchor>
    <xdr:from>
      <xdr:col>26</xdr:col>
      <xdr:colOff>0</xdr:colOff>
      <xdr:row>7</xdr:row>
      <xdr:rowOff>41910</xdr:rowOff>
    </xdr:from>
    <xdr:ext cx="914400"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0538460" y="56007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ES" sz="1100"/>
        </a:p>
      </xdr:txBody>
    </xdr:sp>
    <xdr:clientData/>
  </xdr:oneCellAnchor>
  <xdr:twoCellAnchor>
    <xdr:from>
      <xdr:col>26</xdr:col>
      <xdr:colOff>198120</xdr:colOff>
      <xdr:row>1</xdr:row>
      <xdr:rowOff>0</xdr:rowOff>
    </xdr:from>
    <xdr:to>
      <xdr:col>32</xdr:col>
      <xdr:colOff>601980</xdr:colOff>
      <xdr:row>34</xdr:row>
      <xdr:rowOff>53340</xdr:rowOff>
    </xdr:to>
    <xdr:sp macro="" textlink="">
      <xdr:nvSpPr>
        <xdr:cNvPr id="5" name="CuadroTexto 4">
          <a:extLst>
            <a:ext uri="{FF2B5EF4-FFF2-40B4-BE49-F238E27FC236}">
              <a16:creationId xmlns:a16="http://schemas.microsoft.com/office/drawing/2014/main" id="{96E9F560-F56A-4C4E-81A6-B3C504BEA1B5}"/>
            </a:ext>
          </a:extLst>
        </xdr:cNvPr>
        <xdr:cNvSpPr txBox="1"/>
      </xdr:nvSpPr>
      <xdr:spPr>
        <a:xfrm>
          <a:off x="9159240" y="175260"/>
          <a:ext cx="5669280" cy="5440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t>CONSIDERACIONES</a:t>
          </a:r>
          <a:r>
            <a:rPr lang="es-ES" sz="1100" b="1" u="sng" baseline="0"/>
            <a:t> AL DISEÑO DE LA BOBINA.</a:t>
          </a:r>
        </a:p>
        <a:p>
          <a:endParaRPr lang="es-ES" sz="1100" b="1" u="sng" baseline="0"/>
        </a:p>
        <a:p>
          <a:r>
            <a:rPr lang="es-ES" sz="1100" b="0" u="none" baseline="0"/>
            <a:t>El número de espiras calculado (celda K35) para conseguir la inductancia necesaria (celda K28), es un valor aproximado  cuyo número exacto  se tendrá que determinar con un medidor de inductancias, sirviendo el valor del número de espiras calculado, sólo como punto de partida para determinar empíricamente, el número necesario de ellas para alcanzar la inductancia requerida.</a:t>
          </a:r>
        </a:p>
        <a:p>
          <a:endParaRPr lang="es-ES" sz="1100" b="0" u="none" baseline="0"/>
        </a:p>
        <a:p>
          <a:r>
            <a:rPr lang="es-ES" sz="1100" b="0" u="none" baseline="0"/>
            <a:t>La no consecución del número real de espiras, mediante cálculo, se debe a múltiples factores de corrección existentes en el diseño de una bobina como son:</a:t>
          </a:r>
        </a:p>
        <a:p>
          <a:endParaRPr lang="es-ES" sz="1100" b="0" u="none" baseline="0"/>
        </a:p>
        <a:p>
          <a:r>
            <a:rPr lang="es-ES" sz="1100" b="0" u="none" baseline="0"/>
            <a:t>-No uniformidad del campo magnético creado en el interior de la bobina (Lindin).</a:t>
          </a:r>
        </a:p>
        <a:p>
          <a:r>
            <a:rPr lang="es-ES" sz="1100" b="0" u="none" baseline="0"/>
            <a:t>-Factor de proximidad entre espiras segun tabla de datos "empírica" de Merdhust</a:t>
          </a:r>
        </a:p>
        <a:p>
          <a:r>
            <a:rPr lang="es-ES" sz="1100" b="0" u="none" baseline="0"/>
            <a:t>-Diámetro efectivo de la bobina que difiere ligeramente del valor físico (Stroobandt)</a:t>
          </a:r>
        </a:p>
        <a:p>
          <a:r>
            <a:rPr lang="es-ES" sz="1100" b="0" u="none" baseline="0"/>
            <a:t>-Inductancia mutua entre espiras adyacentes (Knight)</a:t>
          </a:r>
        </a:p>
        <a:p>
          <a:r>
            <a:rPr lang="es-ES" sz="1100" b="0" u="none" baseline="0"/>
            <a:t>-Autoinductancia del conductor redondo de la bobina (Knight y Rosa)</a:t>
          </a:r>
        </a:p>
        <a:p>
          <a:r>
            <a:rPr lang="es-ES" sz="1100" b="0" u="none" baseline="0"/>
            <a:t>-La propia fórmula del cálculo del número de espiras tiene cierto margen de error.</a:t>
          </a:r>
        </a:p>
        <a:p>
          <a:endParaRPr lang="es-ES" sz="1100" b="0" u="none" baseline="0"/>
        </a:p>
        <a:p>
          <a:r>
            <a:rPr lang="es-ES" sz="1100" b="0" u="none" baseline="0"/>
            <a:t>Por las mismas razones, el valor de la resistencia serie de la bobina a la RF y el Q de la misma, tambien son aproximados. </a:t>
          </a:r>
        </a:p>
        <a:p>
          <a:endParaRPr lang="es-ES" sz="1100" b="0" u="none" baseline="0"/>
        </a:p>
        <a:p>
          <a:r>
            <a:rPr lang="es-ES" sz="1100" b="0" u="none" baseline="0"/>
            <a:t>Nuestro objetivo final es localizar la inductancia requerida según la reactancia calculada, para conseguir que la Reactancia de entrada sea cero (o la requerida por el diseñador).</a:t>
          </a:r>
        </a:p>
        <a:p>
          <a:endParaRPr lang="es-ES" sz="1100" b="0" u="none" baseline="0"/>
        </a:p>
        <a:p>
          <a:r>
            <a:rPr lang="es-ES" sz="1100" b="0" u="none" baseline="0"/>
            <a:t>La presencia de la bobina, considerada como una línea de transmisión helicoidal de una capa, </a:t>
          </a:r>
        </a:p>
        <a:p>
          <a:r>
            <a:rPr lang="es-ES" sz="1100" b="0" u="none"/>
            <a:t>"https://hamwaves.com/inductance/en/index.html#input" introduce cierta longitud angular (grados o radianes) al radiador por lo que al aumentar la</a:t>
          </a:r>
          <a:r>
            <a:rPr lang="es-ES" sz="1100" b="0" u="none" baseline="0"/>
            <a:t> longitud del mismo, aumentará la resistencia de radiación en una cantidad que depende de las dimensiones físicas de la bobina, pero será siempre algo superior a la calculada en esta hoja. Por lo tanto, aumentará la eficiencia y disminuirá la ROE</a:t>
          </a:r>
          <a:endParaRPr lang="es-ES" sz="1100" b="0" u="none"/>
        </a:p>
        <a:p>
          <a:endParaRPr lang="es-ES" sz="1100" b="0" u="none"/>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amwaves.com/inductance/en/inde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1"/>
  <sheetViews>
    <sheetView showGridLines="0" tabSelected="1" topLeftCell="A25" zoomScaleNormal="100" workbookViewId="0">
      <selection activeCell="T40" sqref="T40"/>
    </sheetView>
  </sheetViews>
  <sheetFormatPr baseColWidth="10" defaultRowHeight="13.2" x14ac:dyDescent="0.25"/>
  <cols>
    <col min="1" max="1" width="2.109375" customWidth="1"/>
    <col min="2" max="3" width="1.88671875" customWidth="1"/>
    <col min="4" max="4" width="8.77734375" style="27" customWidth="1"/>
    <col min="5" max="10" width="2.77734375" style="27" customWidth="1"/>
    <col min="11" max="11" width="7.88671875" style="27" customWidth="1"/>
    <col min="12" max="12" width="10.44140625" style="1" customWidth="1"/>
    <col min="13" max="13" width="9.21875" customWidth="1"/>
    <col min="14" max="14" width="7.33203125" customWidth="1"/>
    <col min="15" max="15" width="5.77734375" customWidth="1"/>
    <col min="16" max="16" width="5.6640625" customWidth="1"/>
    <col min="17" max="17" width="7.88671875" customWidth="1"/>
    <col min="18" max="18" width="6.88671875" customWidth="1"/>
    <col min="19" max="19" width="7.44140625" customWidth="1"/>
    <col min="20" max="20" width="3.21875" customWidth="1"/>
    <col min="21" max="21" width="5.88671875" customWidth="1"/>
    <col min="22" max="22" width="7.21875" customWidth="1"/>
    <col min="23" max="23" width="2.33203125" customWidth="1"/>
    <col min="24" max="24" width="2.77734375" customWidth="1"/>
    <col min="25" max="25" width="9.33203125" customWidth="1"/>
    <col min="26" max="26" width="2" style="60" customWidth="1"/>
    <col min="28" max="28" width="14" customWidth="1"/>
    <col min="29" max="29" width="13.5546875" customWidth="1"/>
    <col min="30" max="30" width="14.5546875" customWidth="1"/>
  </cols>
  <sheetData>
    <row r="1" spans="1:29" ht="13.8" thickBot="1" x14ac:dyDescent="0.3">
      <c r="A1" s="2"/>
      <c r="B1" s="2"/>
      <c r="C1" s="2"/>
      <c r="D1" s="23"/>
      <c r="E1" s="23"/>
      <c r="F1" s="23"/>
      <c r="G1" s="23"/>
      <c r="H1" s="23"/>
      <c r="I1" s="23"/>
      <c r="J1" s="23"/>
      <c r="K1" s="23"/>
      <c r="L1" s="3"/>
      <c r="M1" s="2"/>
      <c r="N1" s="2"/>
      <c r="O1" s="2"/>
      <c r="P1" s="2"/>
      <c r="Q1" s="2"/>
      <c r="R1" s="2"/>
      <c r="S1" s="2"/>
      <c r="T1" s="2"/>
      <c r="U1" s="2"/>
      <c r="V1" s="2"/>
      <c r="W1" s="2"/>
      <c r="X1" s="2"/>
      <c r="Y1" s="2"/>
    </row>
    <row r="2" spans="1:29" ht="13.8" thickBot="1" x14ac:dyDescent="0.3">
      <c r="A2" s="2"/>
      <c r="B2" s="16"/>
      <c r="C2" s="8"/>
      <c r="D2" s="24"/>
      <c r="E2" s="24"/>
      <c r="F2" s="24"/>
      <c r="G2" s="24"/>
      <c r="H2" s="24"/>
      <c r="I2" s="24"/>
      <c r="J2" s="24"/>
      <c r="K2" s="24"/>
      <c r="L2" s="9"/>
      <c r="M2" s="8"/>
      <c r="N2" s="8"/>
      <c r="O2" s="8"/>
      <c r="P2" s="8"/>
      <c r="Q2" s="8"/>
      <c r="R2" s="8"/>
      <c r="S2" s="8"/>
      <c r="T2" s="8"/>
      <c r="U2" s="8"/>
      <c r="V2" s="8"/>
      <c r="W2" s="28"/>
      <c r="X2" s="28"/>
      <c r="Y2" s="28"/>
      <c r="Z2" s="29"/>
    </row>
    <row r="3" spans="1:29" ht="13.2" customHeight="1" thickTop="1" x14ac:dyDescent="0.25">
      <c r="A3" s="2"/>
      <c r="B3" s="12"/>
      <c r="C3" s="10"/>
      <c r="D3" s="206" t="s">
        <v>8</v>
      </c>
      <c r="E3" s="207"/>
      <c r="F3" s="207"/>
      <c r="G3" s="207"/>
      <c r="H3" s="207"/>
      <c r="I3" s="207"/>
      <c r="J3" s="207"/>
      <c r="K3" s="207"/>
      <c r="L3" s="207"/>
      <c r="M3" s="207"/>
      <c r="N3" s="207"/>
      <c r="O3" s="207"/>
      <c r="P3" s="207"/>
      <c r="Q3" s="207"/>
      <c r="R3" s="207"/>
      <c r="S3" s="207"/>
      <c r="T3" s="207"/>
      <c r="U3" s="207"/>
      <c r="V3" s="207"/>
      <c r="W3" s="207"/>
      <c r="X3" s="207"/>
      <c r="Y3" s="208"/>
      <c r="Z3" s="30"/>
      <c r="AC3" s="143"/>
    </row>
    <row r="4" spans="1:29" ht="13.8" customHeight="1" thickBot="1" x14ac:dyDescent="0.3">
      <c r="A4" s="2"/>
      <c r="B4" s="12"/>
      <c r="C4" s="10"/>
      <c r="D4" s="209"/>
      <c r="E4" s="210"/>
      <c r="F4" s="210"/>
      <c r="G4" s="210"/>
      <c r="H4" s="210"/>
      <c r="I4" s="210"/>
      <c r="J4" s="210"/>
      <c r="K4" s="210"/>
      <c r="L4" s="210"/>
      <c r="M4" s="210"/>
      <c r="N4" s="210"/>
      <c r="O4" s="210"/>
      <c r="P4" s="210"/>
      <c r="Q4" s="210"/>
      <c r="R4" s="210"/>
      <c r="S4" s="210"/>
      <c r="T4" s="210"/>
      <c r="U4" s="210"/>
      <c r="V4" s="210"/>
      <c r="W4" s="210"/>
      <c r="X4" s="210"/>
      <c r="Y4" s="211"/>
      <c r="Z4" s="30"/>
      <c r="AC4" s="143"/>
    </row>
    <row r="5" spans="1:29" ht="14.4" customHeight="1" thickTop="1" thickBot="1" x14ac:dyDescent="0.3">
      <c r="A5" s="2"/>
      <c r="B5" s="12"/>
      <c r="C5" s="10"/>
      <c r="D5" s="25"/>
      <c r="E5" s="25"/>
      <c r="F5" s="25"/>
      <c r="G5" s="25"/>
      <c r="H5" s="25"/>
      <c r="I5" s="25"/>
      <c r="J5" s="25"/>
      <c r="K5" s="25"/>
      <c r="L5" s="11"/>
      <c r="M5" s="11"/>
      <c r="N5" s="11"/>
      <c r="O5" s="11"/>
      <c r="P5" s="11"/>
      <c r="Q5" s="11"/>
      <c r="R5" s="11"/>
      <c r="S5" s="11"/>
      <c r="T5" s="11"/>
      <c r="U5" s="10"/>
      <c r="V5" s="10"/>
      <c r="W5" s="22"/>
      <c r="X5" s="22"/>
      <c r="Y5" s="22"/>
      <c r="Z5" s="30"/>
    </row>
    <row r="6" spans="1:29" ht="16.2" thickBot="1" x14ac:dyDescent="0.3">
      <c r="A6" s="2"/>
      <c r="B6" s="12"/>
      <c r="C6" s="12"/>
      <c r="D6" s="190" t="s">
        <v>7</v>
      </c>
      <c r="E6" s="191"/>
      <c r="F6" s="191"/>
      <c r="G6" s="191"/>
      <c r="H6" s="191"/>
      <c r="I6" s="191"/>
      <c r="J6" s="191"/>
      <c r="K6" s="191"/>
      <c r="L6" s="192"/>
      <c r="M6" s="10"/>
      <c r="N6" s="10"/>
      <c r="O6" s="10"/>
      <c r="P6" s="10"/>
      <c r="Q6" s="33" t="s">
        <v>20</v>
      </c>
      <c r="R6" s="10"/>
      <c r="S6" s="10"/>
      <c r="T6" s="10"/>
      <c r="U6" s="10"/>
      <c r="V6" s="10"/>
      <c r="W6" s="22"/>
      <c r="X6" s="22"/>
      <c r="Y6" s="22"/>
      <c r="Z6" s="30"/>
    </row>
    <row r="7" spans="1:29" ht="13.8" customHeight="1" thickBot="1" x14ac:dyDescent="0.35">
      <c r="A7" s="2"/>
      <c r="B7" s="37"/>
      <c r="C7" s="22"/>
      <c r="D7" s="39"/>
      <c r="E7" s="39"/>
      <c r="F7" s="39"/>
      <c r="G7" s="39"/>
      <c r="H7" s="39"/>
      <c r="I7" s="39"/>
      <c r="J7" s="39"/>
      <c r="K7" s="39"/>
      <c r="L7" s="40"/>
      <c r="M7" s="10"/>
      <c r="N7" s="10"/>
      <c r="O7" s="10"/>
      <c r="P7" s="10"/>
      <c r="Q7" s="139">
        <f>L28</f>
        <v>13.933333175082186</v>
      </c>
      <c r="R7" s="142" t="s">
        <v>72</v>
      </c>
      <c r="S7" s="10"/>
      <c r="T7" s="10"/>
      <c r="U7" s="10"/>
      <c r="V7" s="10"/>
      <c r="W7" s="22"/>
      <c r="X7" s="22"/>
      <c r="Y7" s="22"/>
      <c r="Z7" s="30"/>
    </row>
    <row r="8" spans="1:29" x14ac:dyDescent="0.25">
      <c r="A8" s="2"/>
      <c r="B8" s="12"/>
      <c r="C8" s="12"/>
      <c r="D8" s="157" t="s">
        <v>77</v>
      </c>
      <c r="E8" s="158"/>
      <c r="F8" s="158"/>
      <c r="G8" s="158"/>
      <c r="H8" s="158"/>
      <c r="I8" s="158"/>
      <c r="J8" s="158"/>
      <c r="K8" s="159"/>
      <c r="L8" s="4">
        <v>14</v>
      </c>
      <c r="M8" s="149" t="s">
        <v>0</v>
      </c>
      <c r="N8" s="150"/>
      <c r="O8" s="138">
        <f>L10</f>
        <v>2</v>
      </c>
      <c r="P8" s="139" t="s">
        <v>58</v>
      </c>
      <c r="Q8" s="10"/>
      <c r="R8" s="147" t="s">
        <v>1</v>
      </c>
      <c r="S8" s="147"/>
      <c r="T8" s="147"/>
      <c r="U8" s="140">
        <v>1</v>
      </c>
      <c r="V8" s="141" t="s">
        <v>58</v>
      </c>
      <c r="W8" s="22"/>
      <c r="X8" s="22"/>
      <c r="Y8" s="22"/>
      <c r="Z8" s="30"/>
    </row>
    <row r="9" spans="1:29" ht="13.8" x14ac:dyDescent="0.3">
      <c r="A9" s="2"/>
      <c r="B9" s="12"/>
      <c r="C9" s="12"/>
      <c r="D9" s="157" t="s">
        <v>24</v>
      </c>
      <c r="E9" s="158"/>
      <c r="F9" s="158"/>
      <c r="G9" s="158"/>
      <c r="H9" s="158"/>
      <c r="I9" s="158"/>
      <c r="J9" s="158"/>
      <c r="K9" s="158"/>
      <c r="L9" s="113">
        <v>0</v>
      </c>
      <c r="M9" s="10"/>
      <c r="N9" s="10"/>
      <c r="O9" s="10"/>
      <c r="P9" s="10"/>
      <c r="Q9" s="10"/>
      <c r="R9" s="10"/>
      <c r="S9" s="10"/>
      <c r="T9" s="10"/>
      <c r="U9" s="10"/>
      <c r="V9" s="10"/>
      <c r="W9" s="22"/>
      <c r="X9" s="22"/>
      <c r="Y9" s="22"/>
      <c r="Z9" s="30"/>
      <c r="AA9" s="62"/>
    </row>
    <row r="10" spans="1:29" ht="13.2" customHeight="1" x14ac:dyDescent="0.25">
      <c r="A10" s="2"/>
      <c r="B10" s="12"/>
      <c r="C10" s="12"/>
      <c r="D10" s="157" t="s">
        <v>73</v>
      </c>
      <c r="E10" s="158"/>
      <c r="F10" s="158"/>
      <c r="G10" s="158"/>
      <c r="H10" s="158"/>
      <c r="I10" s="158"/>
      <c r="J10" s="158"/>
      <c r="K10" s="159"/>
      <c r="L10" s="112">
        <v>2</v>
      </c>
      <c r="M10" s="10"/>
      <c r="N10" s="10"/>
      <c r="O10" s="110"/>
      <c r="P10" s="111"/>
      <c r="Q10" s="10"/>
      <c r="R10" s="10"/>
      <c r="S10" s="110"/>
      <c r="T10" s="111"/>
      <c r="U10" s="10"/>
      <c r="V10" s="10"/>
      <c r="W10" s="22"/>
      <c r="X10" s="22"/>
      <c r="Y10" s="42"/>
      <c r="Z10" s="30"/>
      <c r="AA10" s="62"/>
    </row>
    <row r="11" spans="1:29" x14ac:dyDescent="0.25">
      <c r="A11" s="2"/>
      <c r="B11" s="12"/>
      <c r="C11" s="12"/>
      <c r="D11" s="157" t="s">
        <v>74</v>
      </c>
      <c r="E11" s="158"/>
      <c r="F11" s="158"/>
      <c r="G11" s="158"/>
      <c r="H11" s="158"/>
      <c r="I11" s="158"/>
      <c r="J11" s="158"/>
      <c r="K11" s="159"/>
      <c r="L11" s="4">
        <v>1</v>
      </c>
      <c r="M11" s="10"/>
      <c r="N11" s="10"/>
      <c r="O11" s="10"/>
      <c r="P11" s="63"/>
      <c r="Q11" s="63"/>
      <c r="R11" s="63"/>
      <c r="S11" s="63"/>
      <c r="T11" s="63"/>
      <c r="U11" s="10"/>
      <c r="V11" s="63"/>
      <c r="W11" s="22"/>
      <c r="X11" s="22"/>
      <c r="Y11" s="22"/>
      <c r="Z11" s="30"/>
      <c r="AA11" s="62"/>
    </row>
    <row r="12" spans="1:29" x14ac:dyDescent="0.25">
      <c r="A12" s="2"/>
      <c r="B12" s="12"/>
      <c r="C12" s="12"/>
      <c r="D12" s="157" t="s">
        <v>75</v>
      </c>
      <c r="E12" s="158"/>
      <c r="F12" s="158"/>
      <c r="G12" s="158"/>
      <c r="H12" s="158"/>
      <c r="I12" s="158"/>
      <c r="J12" s="158"/>
      <c r="K12" s="159"/>
      <c r="L12" s="4">
        <v>0.69</v>
      </c>
      <c r="M12" s="10"/>
      <c r="N12" s="10"/>
      <c r="O12" s="17"/>
      <c r="P12" s="17" t="s">
        <v>5</v>
      </c>
      <c r="Q12" s="17"/>
      <c r="R12" s="10" t="s">
        <v>6</v>
      </c>
      <c r="S12" s="10"/>
      <c r="T12" s="10"/>
      <c r="U12" s="10"/>
      <c r="V12" s="10"/>
      <c r="W12" s="22"/>
      <c r="X12" s="22"/>
      <c r="Y12" s="22"/>
      <c r="Z12" s="30"/>
      <c r="AA12" s="62"/>
    </row>
    <row r="13" spans="1:29" ht="14.4" thickBot="1" x14ac:dyDescent="0.35">
      <c r="A13" s="2"/>
      <c r="B13" s="12"/>
      <c r="C13" s="12"/>
      <c r="D13" s="221" t="s">
        <v>76</v>
      </c>
      <c r="E13" s="222"/>
      <c r="F13" s="222"/>
      <c r="G13" s="222"/>
      <c r="H13" s="222"/>
      <c r="I13" s="222"/>
      <c r="J13" s="222"/>
      <c r="K13" s="223"/>
      <c r="L13" s="5">
        <v>0.69</v>
      </c>
      <c r="M13" s="63"/>
      <c r="N13" s="63"/>
      <c r="O13" s="148">
        <f>L22</f>
        <v>-294.08999999999997</v>
      </c>
      <c r="P13" s="148"/>
      <c r="Q13" s="109" t="s">
        <v>55</v>
      </c>
      <c r="R13" s="10" t="str">
        <f>L23&amp;" "&amp;M23</f>
        <v>-1519,73 W</v>
      </c>
      <c r="S13" s="75" t="s">
        <v>55</v>
      </c>
      <c r="T13" s="10"/>
      <c r="U13" s="63"/>
      <c r="V13" s="63"/>
      <c r="W13" s="63"/>
      <c r="X13" s="22"/>
      <c r="Y13" s="22"/>
      <c r="Z13" s="30"/>
      <c r="AA13" s="62"/>
    </row>
    <row r="14" spans="1:29" ht="14.4" customHeight="1" thickBot="1" x14ac:dyDescent="0.3">
      <c r="A14" s="2"/>
      <c r="B14" s="12"/>
      <c r="C14" s="10"/>
      <c r="D14" s="26"/>
      <c r="E14" s="26"/>
      <c r="F14" s="26"/>
      <c r="G14" s="26"/>
      <c r="H14" s="26"/>
      <c r="I14" s="26"/>
      <c r="J14" s="26"/>
      <c r="K14" s="26"/>
      <c r="L14" s="13"/>
      <c r="M14" s="63"/>
      <c r="N14" s="63"/>
      <c r="O14" s="63"/>
      <c r="P14" s="31"/>
      <c r="Q14" s="31"/>
      <c r="R14" s="63"/>
      <c r="S14" s="63"/>
      <c r="T14" s="63"/>
      <c r="U14" s="63"/>
      <c r="V14" s="63"/>
      <c r="W14" s="22"/>
      <c r="X14" s="22"/>
      <c r="Y14" s="22"/>
      <c r="Z14" s="30"/>
      <c r="AA14" s="62"/>
    </row>
    <row r="15" spans="1:29" ht="13.8" thickBot="1" x14ac:dyDescent="0.3">
      <c r="A15" s="2"/>
      <c r="B15" s="12"/>
      <c r="C15" s="12"/>
      <c r="D15" s="166" t="s">
        <v>45</v>
      </c>
      <c r="E15" s="167"/>
      <c r="F15" s="167"/>
      <c r="G15" s="167"/>
      <c r="H15" s="167"/>
      <c r="I15" s="167"/>
      <c r="J15" s="167"/>
      <c r="K15" s="167"/>
      <c r="L15" s="167"/>
      <c r="M15" s="168"/>
      <c r="N15" s="10"/>
      <c r="O15" s="10"/>
      <c r="P15" s="166" t="s">
        <v>10</v>
      </c>
      <c r="Q15" s="167"/>
      <c r="R15" s="167"/>
      <c r="S15" s="167"/>
      <c r="T15" s="167"/>
      <c r="U15" s="167"/>
      <c r="V15" s="167"/>
      <c r="W15" s="167"/>
      <c r="X15" s="167"/>
      <c r="Y15" s="168"/>
      <c r="Z15" s="30"/>
    </row>
    <row r="16" spans="1:29" ht="5.4" customHeight="1" thickBot="1" x14ac:dyDescent="0.3">
      <c r="A16" s="2"/>
      <c r="B16" s="12"/>
      <c r="C16" s="10"/>
      <c r="D16" s="26"/>
      <c r="E16" s="26"/>
      <c r="F16" s="26"/>
      <c r="G16" s="26"/>
      <c r="H16" s="26"/>
      <c r="I16" s="26"/>
      <c r="J16" s="26"/>
      <c r="K16" s="26"/>
      <c r="L16" s="17"/>
      <c r="M16" s="10"/>
      <c r="N16" s="10"/>
      <c r="O16" s="10"/>
      <c r="P16" s="10"/>
      <c r="Q16" s="10"/>
      <c r="R16" s="10"/>
      <c r="S16" s="10"/>
      <c r="T16" s="10"/>
      <c r="U16" s="10"/>
      <c r="V16" s="10"/>
      <c r="W16" s="22"/>
      <c r="X16" s="22"/>
      <c r="Y16" s="22"/>
      <c r="Z16" s="30"/>
    </row>
    <row r="17" spans="1:33" x14ac:dyDescent="0.25">
      <c r="A17" s="2"/>
      <c r="B17" s="12"/>
      <c r="C17" s="12"/>
      <c r="D17" s="163" t="s">
        <v>2</v>
      </c>
      <c r="E17" s="164"/>
      <c r="F17" s="164"/>
      <c r="G17" s="164"/>
      <c r="H17" s="164"/>
      <c r="I17" s="164"/>
      <c r="J17" s="164"/>
      <c r="K17" s="165"/>
      <c r="L17" s="116">
        <f>300/L8</f>
        <v>21.428571428571427</v>
      </c>
      <c r="M17" s="117" t="s">
        <v>58</v>
      </c>
      <c r="N17" s="10"/>
      <c r="O17" s="10"/>
      <c r="P17" s="179" t="s">
        <v>13</v>
      </c>
      <c r="Q17" s="180"/>
      <c r="R17" s="180"/>
      <c r="S17" s="180"/>
      <c r="T17" s="180"/>
      <c r="U17" s="180"/>
      <c r="V17" s="180"/>
      <c r="W17" s="180"/>
      <c r="X17" s="180"/>
      <c r="Y17" s="181"/>
      <c r="Z17" s="59"/>
      <c r="AA17" s="64"/>
    </row>
    <row r="18" spans="1:33" ht="19.8" x14ac:dyDescent="0.4">
      <c r="A18" s="2"/>
      <c r="B18" s="12"/>
      <c r="C18" s="12"/>
      <c r="D18" s="160" t="s">
        <v>62</v>
      </c>
      <c r="E18" s="161"/>
      <c r="F18" s="161"/>
      <c r="G18" s="161"/>
      <c r="H18" s="161"/>
      <c r="I18" s="161"/>
      <c r="J18" s="161"/>
      <c r="K18" s="162"/>
      <c r="L18" s="118">
        <f>2*PI()*L10/L17</f>
        <v>0.58643062867009477</v>
      </c>
      <c r="M18" s="119" t="s">
        <v>11</v>
      </c>
      <c r="N18" s="10"/>
      <c r="O18" s="10"/>
      <c r="P18" s="176" t="s">
        <v>64</v>
      </c>
      <c r="Q18" s="177"/>
      <c r="R18" s="177"/>
      <c r="S18" s="177"/>
      <c r="T18" s="177"/>
      <c r="U18" s="177"/>
      <c r="V18" s="177"/>
      <c r="W18" s="177"/>
      <c r="X18" s="177"/>
      <c r="Y18" s="178"/>
      <c r="Z18" s="59"/>
      <c r="AA18" s="64"/>
    </row>
    <row r="19" spans="1:33" ht="19.8" x14ac:dyDescent="0.4">
      <c r="A19" s="2"/>
      <c r="B19" s="12"/>
      <c r="C19" s="12"/>
      <c r="D19" s="160" t="s">
        <v>63</v>
      </c>
      <c r="E19" s="161"/>
      <c r="F19" s="161"/>
      <c r="G19" s="161"/>
      <c r="H19" s="161"/>
      <c r="I19" s="161"/>
      <c r="J19" s="161"/>
      <c r="K19" s="162"/>
      <c r="L19" s="118">
        <f>2*PI()*L11*1.052/L17</f>
        <v>0.30846251068046987</v>
      </c>
      <c r="M19" s="119" t="s">
        <v>11</v>
      </c>
      <c r="N19" s="10"/>
      <c r="O19" s="10"/>
      <c r="P19" s="176" t="s">
        <v>65</v>
      </c>
      <c r="Q19" s="177"/>
      <c r="R19" s="177"/>
      <c r="S19" s="177"/>
      <c r="T19" s="177"/>
      <c r="U19" s="177"/>
      <c r="V19" s="177"/>
      <c r="W19" s="177"/>
      <c r="X19" s="177"/>
      <c r="Y19" s="178"/>
      <c r="Z19" s="59"/>
      <c r="AA19" s="64"/>
    </row>
    <row r="20" spans="1:33" x14ac:dyDescent="0.25">
      <c r="A20" s="2"/>
      <c r="B20" s="12"/>
      <c r="C20" s="12"/>
      <c r="D20" s="160" t="s">
        <v>3</v>
      </c>
      <c r="E20" s="161"/>
      <c r="F20" s="161"/>
      <c r="G20" s="161"/>
      <c r="H20" s="161"/>
      <c r="I20" s="161"/>
      <c r="J20" s="161"/>
      <c r="K20" s="162"/>
      <c r="L20" s="118">
        <f>60*(LN((L10+L11)*1000/L12)-1)</f>
        <v>442.64587494246473</v>
      </c>
      <c r="M20" s="120" t="s">
        <v>9</v>
      </c>
      <c r="N20" s="10"/>
      <c r="O20" s="10"/>
      <c r="P20" s="176" t="s">
        <v>48</v>
      </c>
      <c r="Q20" s="177"/>
      <c r="R20" s="177"/>
      <c r="S20" s="177"/>
      <c r="T20" s="177"/>
      <c r="U20" s="177"/>
      <c r="V20" s="177"/>
      <c r="W20" s="177"/>
      <c r="X20" s="177"/>
      <c r="Y20" s="178"/>
      <c r="Z20" s="59"/>
      <c r="AA20" s="64"/>
      <c r="AE20" s="71"/>
      <c r="AF20" s="71"/>
      <c r="AG20" s="71"/>
    </row>
    <row r="21" spans="1:33" x14ac:dyDescent="0.25">
      <c r="A21" s="2"/>
      <c r="B21" s="12"/>
      <c r="C21" s="12"/>
      <c r="D21" s="160" t="s">
        <v>4</v>
      </c>
      <c r="E21" s="161"/>
      <c r="F21" s="161"/>
      <c r="G21" s="161"/>
      <c r="H21" s="161"/>
      <c r="I21" s="161"/>
      <c r="J21" s="161"/>
      <c r="K21" s="162"/>
      <c r="L21" s="118">
        <f>60*(LN(6*1000/L13)-1)</f>
        <v>484.23470577606145</v>
      </c>
      <c r="M21" s="120" t="s">
        <v>9</v>
      </c>
      <c r="N21" s="10"/>
      <c r="O21" s="10"/>
      <c r="P21" s="176" t="s">
        <v>49</v>
      </c>
      <c r="Q21" s="177"/>
      <c r="R21" s="177"/>
      <c r="S21" s="177"/>
      <c r="T21" s="177"/>
      <c r="U21" s="177"/>
      <c r="V21" s="177"/>
      <c r="W21" s="177"/>
      <c r="X21" s="177"/>
      <c r="Y21" s="178"/>
      <c r="Z21" s="59"/>
      <c r="AA21" s="64"/>
      <c r="AE21" s="174"/>
      <c r="AF21" s="174"/>
    </row>
    <row r="22" spans="1:33" x14ac:dyDescent="0.25">
      <c r="A22" s="2"/>
      <c r="B22" s="12"/>
      <c r="C22" s="12"/>
      <c r="D22" s="176" t="s">
        <v>50</v>
      </c>
      <c r="E22" s="177"/>
      <c r="F22" s="177"/>
      <c r="G22" s="177"/>
      <c r="H22" s="177"/>
      <c r="I22" s="177"/>
      <c r="J22" s="177"/>
      <c r="K22" s="189"/>
      <c r="L22" s="118">
        <f>ROUND(L20*(L9-L20*TAN(L18))/(L20+L9*TAN(L18)),2)</f>
        <v>-294.08999999999997</v>
      </c>
      <c r="M22" s="120" t="s">
        <v>9</v>
      </c>
      <c r="N22" s="10"/>
      <c r="O22" s="10"/>
      <c r="P22" s="176" t="s">
        <v>46</v>
      </c>
      <c r="Q22" s="177"/>
      <c r="R22" s="177"/>
      <c r="S22" s="177"/>
      <c r="T22" s="177"/>
      <c r="U22" s="177"/>
      <c r="V22" s="177"/>
      <c r="W22" s="177"/>
      <c r="X22" s="177"/>
      <c r="Y22" s="178"/>
      <c r="Z22" s="59"/>
      <c r="AA22" s="64"/>
      <c r="AB22" s="54"/>
      <c r="AC22" s="54"/>
      <c r="AD22" s="54"/>
      <c r="AE22" s="174"/>
      <c r="AF22" s="174"/>
    </row>
    <row r="23" spans="1:33" ht="14.4" customHeight="1" thickBot="1" x14ac:dyDescent="0.3">
      <c r="A23" s="2"/>
      <c r="B23" s="12"/>
      <c r="C23" s="12"/>
      <c r="D23" s="154" t="s">
        <v>51</v>
      </c>
      <c r="E23" s="155"/>
      <c r="F23" s="155"/>
      <c r="G23" s="155"/>
      <c r="H23" s="155"/>
      <c r="I23" s="155"/>
      <c r="J23" s="155"/>
      <c r="K23" s="156"/>
      <c r="L23" s="121">
        <f>ROUND(-L21/TAN(L19),2)</f>
        <v>-1519.73</v>
      </c>
      <c r="M23" s="122" t="s">
        <v>9</v>
      </c>
      <c r="N23" s="10"/>
      <c r="O23" s="10"/>
      <c r="P23" s="218" t="s">
        <v>47</v>
      </c>
      <c r="Q23" s="219"/>
      <c r="R23" s="219"/>
      <c r="S23" s="219"/>
      <c r="T23" s="219"/>
      <c r="U23" s="219"/>
      <c r="V23" s="219"/>
      <c r="W23" s="219"/>
      <c r="X23" s="219"/>
      <c r="Y23" s="220"/>
      <c r="Z23" s="59"/>
      <c r="AA23" s="64"/>
    </row>
    <row r="24" spans="1:33" ht="4.8" customHeight="1" thickBot="1" x14ac:dyDescent="0.3">
      <c r="A24" s="2"/>
      <c r="B24" s="12"/>
      <c r="C24" s="10"/>
      <c r="D24" s="26"/>
      <c r="E24" s="26"/>
      <c r="F24" s="26"/>
      <c r="G24" s="26"/>
      <c r="H24" s="26"/>
      <c r="I24" s="26"/>
      <c r="J24" s="26"/>
      <c r="K24" s="26"/>
      <c r="L24" s="13"/>
      <c r="M24" s="10"/>
      <c r="N24" s="10"/>
      <c r="O24" s="10"/>
      <c r="P24" s="123"/>
      <c r="Q24" s="123"/>
      <c r="R24" s="123"/>
      <c r="S24" s="123"/>
      <c r="T24" s="124"/>
      <c r="U24" s="125"/>
      <c r="V24" s="124"/>
      <c r="W24" s="125"/>
      <c r="X24" s="125"/>
      <c r="Y24" s="125"/>
      <c r="Z24" s="59"/>
      <c r="AA24" s="64"/>
    </row>
    <row r="25" spans="1:33" ht="13.8" thickBot="1" x14ac:dyDescent="0.3">
      <c r="A25" s="2"/>
      <c r="B25" s="12"/>
      <c r="C25" s="12"/>
      <c r="D25" s="203" t="s">
        <v>43</v>
      </c>
      <c r="E25" s="184"/>
      <c r="F25" s="184"/>
      <c r="G25" s="184"/>
      <c r="H25" s="184"/>
      <c r="I25" s="184"/>
      <c r="J25" s="184"/>
      <c r="K25" s="184"/>
      <c r="L25" s="184"/>
      <c r="M25" s="185"/>
      <c r="N25" s="10"/>
      <c r="O25" s="10"/>
      <c r="P25" s="126"/>
      <c r="Q25" s="126"/>
      <c r="R25" s="126"/>
      <c r="S25" s="126"/>
      <c r="T25" s="124"/>
      <c r="U25" s="124"/>
      <c r="V25" s="124"/>
      <c r="W25" s="125"/>
      <c r="X25" s="125"/>
      <c r="Y25" s="125"/>
      <c r="Z25" s="59"/>
      <c r="AA25" s="64"/>
    </row>
    <row r="26" spans="1:33" s="54" customFormat="1" ht="4.2" customHeight="1" thickBot="1" x14ac:dyDescent="0.3">
      <c r="B26" s="53"/>
      <c r="C26" s="53"/>
      <c r="D26" s="61"/>
      <c r="E26" s="44"/>
      <c r="F26" s="44"/>
      <c r="G26" s="44"/>
      <c r="H26" s="44"/>
      <c r="I26" s="44"/>
      <c r="J26" s="44"/>
      <c r="K26" s="44"/>
      <c r="L26" s="44"/>
      <c r="M26" s="44"/>
      <c r="N26" s="44"/>
      <c r="O26" s="44"/>
      <c r="P26" s="127"/>
      <c r="Q26" s="127"/>
      <c r="R26" s="127"/>
      <c r="S26" s="127"/>
      <c r="T26" s="127"/>
      <c r="U26" s="127"/>
      <c r="V26" s="127"/>
      <c r="W26" s="127"/>
      <c r="X26" s="127"/>
      <c r="Y26" s="127"/>
      <c r="Z26" s="70"/>
      <c r="AB26"/>
      <c r="AC26"/>
      <c r="AD26"/>
    </row>
    <row r="27" spans="1:33" x14ac:dyDescent="0.25">
      <c r="A27" s="2"/>
      <c r="B27" s="12"/>
      <c r="C27" s="12"/>
      <c r="D27" s="212" t="s">
        <v>52</v>
      </c>
      <c r="E27" s="213"/>
      <c r="F27" s="213"/>
      <c r="G27" s="213"/>
      <c r="H27" s="213"/>
      <c r="I27" s="213"/>
      <c r="J27" s="213"/>
      <c r="K27" s="214"/>
      <c r="L27" s="34">
        <f>-(L23-L22)</f>
        <v>1225.6400000000001</v>
      </c>
      <c r="M27" s="6" t="s">
        <v>9</v>
      </c>
      <c r="N27" s="10"/>
      <c r="O27" s="10"/>
      <c r="P27" s="179" t="s">
        <v>12</v>
      </c>
      <c r="Q27" s="180"/>
      <c r="R27" s="180"/>
      <c r="S27" s="180"/>
      <c r="T27" s="180"/>
      <c r="U27" s="180"/>
      <c r="V27" s="180"/>
      <c r="W27" s="180"/>
      <c r="X27" s="180"/>
      <c r="Y27" s="181"/>
      <c r="Z27" s="59"/>
      <c r="AA27" s="64"/>
    </row>
    <row r="28" spans="1:33" ht="14.4" thickBot="1" x14ac:dyDescent="0.35">
      <c r="A28" s="2"/>
      <c r="B28" s="12"/>
      <c r="C28" s="12"/>
      <c r="D28" s="215" t="s">
        <v>53</v>
      </c>
      <c r="E28" s="216"/>
      <c r="F28" s="216"/>
      <c r="G28" s="216"/>
      <c r="H28" s="216"/>
      <c r="I28" s="216"/>
      <c r="J28" s="216"/>
      <c r="K28" s="217"/>
      <c r="L28" s="35">
        <f>L27/2/PI()/L8</f>
        <v>13.933333175082186</v>
      </c>
      <c r="M28" s="41" t="s">
        <v>23</v>
      </c>
      <c r="N28" s="10"/>
      <c r="O28" s="10"/>
      <c r="P28" s="218" t="s">
        <v>66</v>
      </c>
      <c r="Q28" s="219"/>
      <c r="R28" s="219"/>
      <c r="S28" s="219"/>
      <c r="T28" s="219"/>
      <c r="U28" s="219"/>
      <c r="V28" s="219"/>
      <c r="W28" s="219"/>
      <c r="X28" s="219"/>
      <c r="Y28" s="220"/>
      <c r="Z28" s="59"/>
      <c r="AA28" s="64"/>
    </row>
    <row r="29" spans="1:33" ht="13.8" thickBot="1" x14ac:dyDescent="0.3">
      <c r="A29" s="2"/>
      <c r="B29" s="82"/>
      <c r="C29" s="31"/>
      <c r="D29" s="83"/>
      <c r="E29" s="84"/>
      <c r="F29" s="84"/>
      <c r="G29" s="84"/>
      <c r="H29" s="84"/>
      <c r="I29" s="84"/>
      <c r="J29" s="84"/>
      <c r="K29" s="84"/>
      <c r="L29" s="85"/>
      <c r="M29" s="86"/>
      <c r="N29" s="31"/>
      <c r="O29" s="31"/>
      <c r="P29" s="84"/>
      <c r="Q29" s="84"/>
      <c r="R29" s="84"/>
      <c r="S29" s="84"/>
      <c r="T29" s="84"/>
      <c r="U29" s="84"/>
      <c r="V29" s="84"/>
      <c r="W29" s="84"/>
      <c r="X29" s="84"/>
      <c r="Y29" s="84"/>
      <c r="Z29" s="76"/>
      <c r="AA29" s="64"/>
    </row>
    <row r="30" spans="1:33" ht="5.4" customHeight="1" thickBot="1" x14ac:dyDescent="0.3">
      <c r="A30" s="2"/>
      <c r="B30" s="62"/>
      <c r="C30" s="62"/>
      <c r="D30" s="77"/>
      <c r="E30" s="78"/>
      <c r="F30" s="78"/>
      <c r="G30" s="78"/>
      <c r="H30" s="78"/>
      <c r="I30" s="78"/>
      <c r="J30" s="78"/>
      <c r="K30" s="78"/>
      <c r="L30" s="79"/>
      <c r="M30" s="80"/>
      <c r="N30" s="62"/>
      <c r="O30" s="62"/>
      <c r="P30" s="78"/>
      <c r="Q30" s="78"/>
      <c r="R30" s="78"/>
      <c r="S30" s="78"/>
      <c r="T30" s="78"/>
      <c r="U30" s="78"/>
      <c r="V30" s="78"/>
      <c r="W30" s="78"/>
      <c r="X30" s="78"/>
      <c r="Y30" s="78"/>
      <c r="Z30" s="81"/>
      <c r="AA30" s="64"/>
    </row>
    <row r="31" spans="1:33" ht="13.8" thickBot="1" x14ac:dyDescent="0.3">
      <c r="A31" s="2"/>
      <c r="B31" s="151" t="s">
        <v>57</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3"/>
      <c r="AA31" s="64"/>
    </row>
    <row r="32" spans="1:33" ht="4.2" customHeight="1" thickBot="1" x14ac:dyDescent="0.3">
      <c r="A32" s="2"/>
      <c r="B32" s="62"/>
      <c r="C32" s="62"/>
      <c r="D32" s="77"/>
      <c r="E32" s="78"/>
      <c r="F32" s="78"/>
      <c r="G32" s="78"/>
      <c r="H32" s="78"/>
      <c r="I32" s="78"/>
      <c r="J32" s="78"/>
      <c r="K32" s="78"/>
      <c r="L32" s="79"/>
      <c r="M32" s="80"/>
      <c r="N32" s="62"/>
      <c r="O32" s="62"/>
      <c r="P32" s="78"/>
      <c r="Q32" s="78"/>
      <c r="R32" s="78"/>
      <c r="S32" s="78"/>
      <c r="T32" s="78"/>
      <c r="U32" s="78"/>
      <c r="V32" s="78"/>
      <c r="W32" s="78"/>
      <c r="X32" s="78"/>
      <c r="Y32" s="78"/>
      <c r="Z32" s="81"/>
      <c r="AA32" s="64"/>
    </row>
    <row r="33" spans="1:33" ht="16.2" customHeight="1" thickBot="1" x14ac:dyDescent="0.3">
      <c r="A33" s="2"/>
      <c r="B33" s="16"/>
      <c r="C33" s="8"/>
      <c r="D33" s="52"/>
      <c r="E33" s="52"/>
      <c r="F33" s="52"/>
      <c r="G33" s="52"/>
      <c r="H33" s="52"/>
      <c r="I33" s="52"/>
      <c r="J33" s="52"/>
      <c r="K33" s="52"/>
      <c r="L33" s="87"/>
      <c r="M33" s="88"/>
      <c r="N33" s="28"/>
      <c r="O33" s="28"/>
      <c r="P33" s="89"/>
      <c r="Q33" s="89"/>
      <c r="R33" s="89"/>
      <c r="S33" s="89"/>
      <c r="T33" s="24"/>
      <c r="U33" s="24"/>
      <c r="V33" s="24"/>
      <c r="W33" s="89"/>
      <c r="X33" s="89"/>
      <c r="Y33" s="89"/>
      <c r="Z33" s="29"/>
      <c r="AA33" s="64"/>
    </row>
    <row r="34" spans="1:33" ht="13.8" customHeight="1" thickBot="1" x14ac:dyDescent="0.3">
      <c r="A34" s="2"/>
      <c r="B34" s="12"/>
      <c r="C34" s="10"/>
      <c r="D34" s="196" t="s">
        <v>25</v>
      </c>
      <c r="E34" s="167"/>
      <c r="F34" s="167"/>
      <c r="G34" s="167"/>
      <c r="H34" s="167"/>
      <c r="I34" s="167"/>
      <c r="J34" s="167"/>
      <c r="K34" s="167"/>
      <c r="L34" s="167"/>
      <c r="M34" s="168"/>
      <c r="N34" s="22"/>
      <c r="O34" s="22"/>
      <c r="P34" s="169" t="s">
        <v>56</v>
      </c>
      <c r="Q34" s="170"/>
      <c r="R34" s="171"/>
      <c r="S34" s="171"/>
      <c r="T34" s="171"/>
      <c r="U34" s="171"/>
      <c r="V34" s="171"/>
      <c r="W34" s="171"/>
      <c r="X34" s="171"/>
      <c r="Y34" s="172"/>
      <c r="Z34" s="30"/>
      <c r="AA34" s="64"/>
    </row>
    <row r="35" spans="1:33" ht="13.8" customHeight="1" thickBot="1" x14ac:dyDescent="0.3">
      <c r="A35" s="2"/>
      <c r="B35" s="12"/>
      <c r="C35" s="10"/>
      <c r="D35" s="193" t="s">
        <v>26</v>
      </c>
      <c r="E35" s="194"/>
      <c r="F35" s="194"/>
      <c r="G35" s="194"/>
      <c r="H35" s="194"/>
      <c r="I35" s="194"/>
      <c r="J35" s="194"/>
      <c r="K35" s="195"/>
      <c r="L35" s="47">
        <v>32</v>
      </c>
      <c r="M35" s="45" t="s">
        <v>28</v>
      </c>
      <c r="N35" s="22"/>
      <c r="O35" s="22"/>
      <c r="P35" s="204" t="s">
        <v>44</v>
      </c>
      <c r="Q35" s="205"/>
      <c r="R35" s="22"/>
      <c r="S35" s="22"/>
      <c r="T35" s="22"/>
      <c r="U35" s="22"/>
      <c r="V35" s="22"/>
      <c r="W35" s="22"/>
      <c r="X35" s="22"/>
      <c r="Y35" s="22"/>
      <c r="Z35" s="30"/>
    </row>
    <row r="36" spans="1:33" ht="15" customHeight="1" x14ac:dyDescent="0.25">
      <c r="A36" s="2"/>
      <c r="B36" s="12"/>
      <c r="C36" s="10"/>
      <c r="D36" s="193" t="s">
        <v>27</v>
      </c>
      <c r="E36" s="194"/>
      <c r="F36" s="194"/>
      <c r="G36" s="194"/>
      <c r="H36" s="194"/>
      <c r="I36" s="194"/>
      <c r="J36" s="194"/>
      <c r="K36" s="195"/>
      <c r="L36" s="48">
        <v>1</v>
      </c>
      <c r="M36" s="46" t="s">
        <v>28</v>
      </c>
      <c r="N36" s="22"/>
      <c r="O36" s="22"/>
      <c r="P36" s="65" t="s">
        <v>29</v>
      </c>
      <c r="Q36" s="66">
        <f>10/(2*L36)</f>
        <v>5</v>
      </c>
      <c r="R36" s="43"/>
      <c r="S36" s="43"/>
      <c r="T36" s="26"/>
      <c r="U36" s="26"/>
      <c r="V36" s="26"/>
      <c r="W36" s="43"/>
      <c r="X36" s="43"/>
      <c r="Y36" s="43"/>
      <c r="Z36" s="30"/>
    </row>
    <row r="37" spans="1:33" ht="13.2" customHeight="1" thickBot="1" x14ac:dyDescent="0.3">
      <c r="A37" s="2"/>
      <c r="B37" s="12"/>
      <c r="C37" s="10"/>
      <c r="D37" s="57"/>
      <c r="E37" s="57"/>
      <c r="F37" s="57"/>
      <c r="G37" s="57"/>
      <c r="H37" s="57"/>
      <c r="I37" s="57"/>
      <c r="J37" s="57"/>
      <c r="K37" s="57"/>
      <c r="L37" s="36"/>
      <c r="M37" s="58"/>
      <c r="N37" s="22"/>
      <c r="O37" s="22"/>
      <c r="P37" s="65" t="s">
        <v>30</v>
      </c>
      <c r="Q37" s="67">
        <f>(L35+L36)/10</f>
        <v>3.3</v>
      </c>
      <c r="R37" s="43"/>
      <c r="S37" s="43"/>
      <c r="T37" s="26"/>
      <c r="U37" s="26"/>
      <c r="V37" s="26"/>
      <c r="W37" s="43"/>
      <c r="X37" s="43"/>
      <c r="Y37" s="43"/>
      <c r="Z37" s="30"/>
    </row>
    <row r="38" spans="1:33" ht="15" customHeight="1" thickBot="1" x14ac:dyDescent="0.3">
      <c r="A38" s="2"/>
      <c r="B38" s="12"/>
      <c r="C38" s="10"/>
      <c r="D38" s="182" t="s">
        <v>54</v>
      </c>
      <c r="E38" s="183"/>
      <c r="F38" s="183"/>
      <c r="G38" s="183"/>
      <c r="H38" s="183"/>
      <c r="I38" s="183"/>
      <c r="J38" s="183"/>
      <c r="K38" s="183"/>
      <c r="L38" s="184"/>
      <c r="M38" s="185"/>
      <c r="N38" s="22"/>
      <c r="O38" s="22"/>
      <c r="P38" s="65" t="s">
        <v>31</v>
      </c>
      <c r="Q38" s="66">
        <f>50/Q36/Q37^2</f>
        <v>0.91827364554637292</v>
      </c>
      <c r="R38" s="43"/>
      <c r="S38" s="43"/>
      <c r="T38" s="26"/>
      <c r="U38" s="26"/>
      <c r="V38" s="26"/>
      <c r="W38" s="43"/>
      <c r="X38" s="43"/>
      <c r="Y38" s="43"/>
      <c r="Z38" s="30"/>
    </row>
    <row r="39" spans="1:33" ht="15" customHeight="1" thickBot="1" x14ac:dyDescent="0.3">
      <c r="A39" s="2"/>
      <c r="B39" s="12"/>
      <c r="C39" s="10"/>
      <c r="D39" s="144" t="s">
        <v>38</v>
      </c>
      <c r="E39" s="145"/>
      <c r="F39" s="145"/>
      <c r="G39" s="145"/>
      <c r="H39" s="145"/>
      <c r="I39" s="145"/>
      <c r="J39" s="145"/>
      <c r="K39" s="146"/>
      <c r="L39" s="49">
        <f>Q39</f>
        <v>34.88485099637041</v>
      </c>
      <c r="M39" s="50"/>
      <c r="N39" s="22"/>
      <c r="O39" s="22"/>
      <c r="P39" s="65" t="s">
        <v>32</v>
      </c>
      <c r="Q39" s="66">
        <f>(L28*Q38*(1+SQRT(1+23/(Q37*L28*Q38^2/2))))*1.1</f>
        <v>34.88485099637041</v>
      </c>
      <c r="R39" s="43"/>
      <c r="S39" s="43"/>
      <c r="T39" s="26"/>
      <c r="U39" s="26"/>
      <c r="V39" s="26"/>
      <c r="W39" s="43"/>
      <c r="X39" s="43"/>
      <c r="Y39" s="43"/>
      <c r="Z39" s="30"/>
    </row>
    <row r="40" spans="1:33" ht="15" customHeight="1" x14ac:dyDescent="0.25">
      <c r="A40" s="2"/>
      <c r="B40" s="12"/>
      <c r="C40" s="10"/>
      <c r="D40" s="200" t="s">
        <v>39</v>
      </c>
      <c r="E40" s="201"/>
      <c r="F40" s="201"/>
      <c r="G40" s="201"/>
      <c r="H40" s="201"/>
      <c r="I40" s="201"/>
      <c r="J40" s="201"/>
      <c r="K40" s="202"/>
      <c r="L40" s="51">
        <f>Q44*1.37</f>
        <v>2.0533953954030895</v>
      </c>
      <c r="M40" s="6" t="s">
        <v>9</v>
      </c>
      <c r="N40" s="22"/>
      <c r="O40" s="22"/>
      <c r="P40" s="65" t="s">
        <v>33</v>
      </c>
      <c r="Q40" s="66">
        <f>SQRT(L36^2+L35^2)*PI()</f>
        <v>100.58004032170892</v>
      </c>
      <c r="R40" s="22"/>
      <c r="S40" s="22"/>
      <c r="T40" s="22"/>
      <c r="U40" s="22"/>
      <c r="V40" s="22"/>
      <c r="W40" s="22"/>
      <c r="X40" s="22"/>
      <c r="Y40" s="22"/>
      <c r="Z40" s="30"/>
    </row>
    <row r="41" spans="1:33" ht="15" customHeight="1" thickBot="1" x14ac:dyDescent="0.3">
      <c r="A41" s="2"/>
      <c r="B41" s="12"/>
      <c r="C41" s="10"/>
      <c r="D41" s="197" t="s">
        <v>40</v>
      </c>
      <c r="E41" s="198"/>
      <c r="F41" s="198"/>
      <c r="G41" s="198"/>
      <c r="H41" s="198"/>
      <c r="I41" s="198"/>
      <c r="J41" s="198"/>
      <c r="K41" s="199"/>
      <c r="L41" s="55">
        <f>Q46</f>
        <v>6.9769701992740822</v>
      </c>
      <c r="M41" s="56" t="s">
        <v>42</v>
      </c>
      <c r="N41" s="22"/>
      <c r="O41" s="22"/>
      <c r="P41" s="65" t="s">
        <v>34</v>
      </c>
      <c r="Q41" s="66">
        <f>Q40*Q39</f>
        <v>3508.7197198317435</v>
      </c>
      <c r="R41" s="43"/>
      <c r="S41" s="43"/>
      <c r="T41" s="26"/>
      <c r="U41" s="26"/>
      <c r="V41" s="26"/>
      <c r="W41" s="43"/>
      <c r="X41" s="43"/>
      <c r="Y41" s="43"/>
      <c r="Z41" s="30"/>
    </row>
    <row r="42" spans="1:33" ht="15" customHeight="1" x14ac:dyDescent="0.25">
      <c r="A42" s="2"/>
      <c r="B42" s="12"/>
      <c r="C42" s="10"/>
      <c r="D42" s="43"/>
      <c r="E42" s="43"/>
      <c r="F42" s="43"/>
      <c r="G42" s="43"/>
      <c r="H42" s="43"/>
      <c r="I42" s="43"/>
      <c r="J42" s="43"/>
      <c r="K42" s="43"/>
      <c r="L42" s="90"/>
      <c r="M42" s="22"/>
      <c r="N42" s="22"/>
      <c r="O42" s="22"/>
      <c r="P42" s="65" t="s">
        <v>35</v>
      </c>
      <c r="Q42" s="66">
        <f>Q41*SQRT(L8)/1000/12/L36</f>
        <v>1.0940355881523198</v>
      </c>
      <c r="R42" s="43"/>
      <c r="S42" s="43"/>
      <c r="T42" s="26"/>
      <c r="U42" s="26"/>
      <c r="V42" s="26"/>
      <c r="W42" s="43"/>
      <c r="X42" s="43"/>
      <c r="Y42" s="43"/>
      <c r="Z42" s="30"/>
      <c r="AE42" s="173"/>
    </row>
    <row r="43" spans="1:33" ht="15" customHeight="1" thickBot="1" x14ac:dyDescent="0.3">
      <c r="A43" s="2"/>
      <c r="B43" s="12"/>
      <c r="C43" s="63"/>
      <c r="D43" s="132"/>
      <c r="E43" s="132"/>
      <c r="F43" s="132"/>
      <c r="G43" s="132"/>
      <c r="H43" s="132"/>
      <c r="I43" s="132"/>
      <c r="J43" s="132"/>
      <c r="K43" s="132"/>
      <c r="L43" s="133"/>
      <c r="M43" s="63"/>
      <c r="N43" s="63"/>
      <c r="O43" s="22"/>
      <c r="P43" s="136"/>
      <c r="Q43" s="137"/>
      <c r="R43" s="43"/>
      <c r="S43" s="43"/>
      <c r="T43" s="26"/>
      <c r="U43" s="26"/>
      <c r="V43" s="26"/>
      <c r="W43" s="43"/>
      <c r="X43" s="43"/>
      <c r="Y43" s="43"/>
      <c r="Z43" s="30"/>
      <c r="AE43" s="173"/>
    </row>
    <row r="44" spans="1:33" ht="13.8" customHeight="1" thickBot="1" x14ac:dyDescent="0.35">
      <c r="A44" s="2"/>
      <c r="B44" s="12"/>
      <c r="C44" s="96"/>
      <c r="D44" s="97"/>
      <c r="E44" s="97"/>
      <c r="F44" s="97"/>
      <c r="G44" s="97"/>
      <c r="H44" s="97"/>
      <c r="I44" s="97"/>
      <c r="J44" s="97"/>
      <c r="K44" s="97"/>
      <c r="L44" s="98"/>
      <c r="M44" s="99"/>
      <c r="N44" s="100"/>
      <c r="O44" s="22"/>
      <c r="P44" s="65" t="s">
        <v>37</v>
      </c>
      <c r="Q44" s="66">
        <f>Q42*1.37</f>
        <v>1.4988287557686784</v>
      </c>
      <c r="R44" s="43"/>
      <c r="S44" s="43"/>
      <c r="T44" s="26"/>
      <c r="U44" s="26"/>
      <c r="V44" s="26"/>
      <c r="W44" s="43"/>
      <c r="X44" s="43"/>
      <c r="Y44" s="43"/>
      <c r="Z44" s="30"/>
      <c r="AB44" s="72"/>
      <c r="AC44" s="73"/>
      <c r="AE44" s="173"/>
    </row>
    <row r="45" spans="1:33" ht="13.8" thickBot="1" x14ac:dyDescent="0.3">
      <c r="A45" s="2"/>
      <c r="B45" s="12"/>
      <c r="C45" s="12"/>
      <c r="D45" s="129" t="s">
        <v>14</v>
      </c>
      <c r="E45" s="130"/>
      <c r="F45" s="130"/>
      <c r="G45" s="130"/>
      <c r="H45" s="130"/>
      <c r="I45" s="130"/>
      <c r="J45" s="130"/>
      <c r="K45" s="130"/>
      <c r="L45" s="130"/>
      <c r="M45" s="131"/>
      <c r="N45" s="103"/>
      <c r="O45" s="22"/>
      <c r="P45" s="65" t="s">
        <v>36</v>
      </c>
      <c r="Q45" s="66">
        <f>L27/Q44</f>
        <v>817.73184246883989</v>
      </c>
      <c r="R45" s="43"/>
      <c r="S45" s="43"/>
      <c r="T45" s="26"/>
      <c r="U45" s="26"/>
      <c r="V45" s="26"/>
      <c r="W45" s="43"/>
      <c r="X45" s="43"/>
      <c r="Y45" s="43"/>
      <c r="Z45" s="30"/>
    </row>
    <row r="46" spans="1:33" ht="13.8" customHeight="1" thickBot="1" x14ac:dyDescent="0.3">
      <c r="A46" s="2"/>
      <c r="B46" s="37"/>
      <c r="C46" s="101"/>
      <c r="D46" s="102"/>
      <c r="E46" s="102"/>
      <c r="F46" s="102"/>
      <c r="G46" s="102"/>
      <c r="H46" s="102"/>
      <c r="I46" s="102"/>
      <c r="J46" s="102"/>
      <c r="K46" s="102"/>
      <c r="L46" s="134" t="s">
        <v>70</v>
      </c>
      <c r="M46" s="135" t="s">
        <v>71</v>
      </c>
      <c r="N46" s="103"/>
      <c r="O46" s="22"/>
      <c r="P46" s="68" t="s">
        <v>41</v>
      </c>
      <c r="Q46" s="69">
        <f>2*L36*Q39/10</f>
        <v>6.9769701992740822</v>
      </c>
      <c r="R46" s="43"/>
      <c r="S46" s="43"/>
      <c r="T46" s="26"/>
      <c r="U46" s="26"/>
      <c r="V46" s="26"/>
      <c r="W46" s="43"/>
      <c r="X46" s="43"/>
      <c r="Y46" s="43"/>
      <c r="Z46" s="30"/>
    </row>
    <row r="47" spans="1:33" ht="13.8" x14ac:dyDescent="0.3">
      <c r="A47" s="2"/>
      <c r="B47" s="12"/>
      <c r="C47" s="101"/>
      <c r="D47" s="144" t="s">
        <v>59</v>
      </c>
      <c r="E47" s="145"/>
      <c r="F47" s="145"/>
      <c r="G47" s="145"/>
      <c r="H47" s="145"/>
      <c r="I47" s="145"/>
      <c r="J47" s="145"/>
      <c r="K47" s="146"/>
      <c r="L47" s="128">
        <f>Q44*(COS(L18))^2</f>
        <v>1.0398241300258266</v>
      </c>
      <c r="M47" s="224">
        <f>L47*2</f>
        <v>2.0796482600516533</v>
      </c>
      <c r="N47" s="19" t="s">
        <v>9</v>
      </c>
      <c r="O47" s="10"/>
      <c r="P47" s="187" t="s">
        <v>68</v>
      </c>
      <c r="Q47" s="188"/>
      <c r="R47" s="180"/>
      <c r="S47" s="180"/>
      <c r="T47" s="180"/>
      <c r="U47" s="180"/>
      <c r="V47" s="180"/>
      <c r="W47" s="180"/>
      <c r="X47" s="180"/>
      <c r="Y47" s="181"/>
      <c r="Z47" s="30"/>
    </row>
    <row r="48" spans="1:33" ht="13.8" x14ac:dyDescent="0.3">
      <c r="A48" s="2"/>
      <c r="B48" s="12"/>
      <c r="C48" s="101"/>
      <c r="D48" s="144" t="s">
        <v>60</v>
      </c>
      <c r="E48" s="145"/>
      <c r="F48" s="145"/>
      <c r="G48" s="145"/>
      <c r="H48" s="145"/>
      <c r="I48" s="145"/>
      <c r="J48" s="145"/>
      <c r="K48" s="146"/>
      <c r="L48" s="21">
        <f>36.5*(1-(SIN(PI()/2-L19))^2+(SIN(L18))^2+0.043)</f>
        <v>16.11152224663757</v>
      </c>
      <c r="M48" s="225">
        <f>L48*2</f>
        <v>32.22304449327514</v>
      </c>
      <c r="N48" s="38" t="s">
        <v>9</v>
      </c>
      <c r="O48" s="10"/>
      <c r="P48" s="176" t="s">
        <v>15</v>
      </c>
      <c r="Q48" s="177"/>
      <c r="R48" s="177"/>
      <c r="S48" s="177"/>
      <c r="T48" s="177"/>
      <c r="U48" s="177"/>
      <c r="V48" s="177"/>
      <c r="W48" s="177"/>
      <c r="X48" s="177"/>
      <c r="Y48" s="178"/>
      <c r="Z48" s="30"/>
      <c r="AF48" s="72"/>
      <c r="AG48" s="74"/>
    </row>
    <row r="49" spans="1:26" x14ac:dyDescent="0.25">
      <c r="A49" s="2"/>
      <c r="B49" s="12"/>
      <c r="C49" s="101"/>
      <c r="D49" s="144" t="s">
        <v>16</v>
      </c>
      <c r="E49" s="145"/>
      <c r="F49" s="145"/>
      <c r="G49" s="145"/>
      <c r="H49" s="145"/>
      <c r="I49" s="145"/>
      <c r="J49" s="145"/>
      <c r="K49" s="146"/>
      <c r="L49" s="114">
        <v>5</v>
      </c>
      <c r="M49" s="226"/>
      <c r="N49" s="115" t="s">
        <v>9</v>
      </c>
      <c r="O49" s="10"/>
      <c r="P49" s="176" t="s">
        <v>19</v>
      </c>
      <c r="Q49" s="177"/>
      <c r="R49" s="177"/>
      <c r="S49" s="177"/>
      <c r="T49" s="177"/>
      <c r="U49" s="177"/>
      <c r="V49" s="177"/>
      <c r="W49" s="177"/>
      <c r="X49" s="177"/>
      <c r="Y49" s="178"/>
      <c r="Z49" s="30"/>
    </row>
    <row r="50" spans="1:26" x14ac:dyDescent="0.25">
      <c r="A50" s="2"/>
      <c r="B50" s="12"/>
      <c r="C50" s="101"/>
      <c r="D50" s="144" t="s">
        <v>61</v>
      </c>
      <c r="E50" s="145"/>
      <c r="F50" s="145"/>
      <c r="G50" s="145"/>
      <c r="H50" s="145"/>
      <c r="I50" s="145"/>
      <c r="J50" s="145"/>
      <c r="K50" s="146"/>
      <c r="L50" s="18">
        <f>SUM(L47:L49)</f>
        <v>22.151346376663398</v>
      </c>
      <c r="M50" s="225">
        <f>M47+M48</f>
        <v>34.302692753326795</v>
      </c>
      <c r="N50" s="38" t="s">
        <v>9</v>
      </c>
      <c r="O50" s="10"/>
      <c r="P50" s="176" t="s">
        <v>69</v>
      </c>
      <c r="Q50" s="177"/>
      <c r="R50" s="177"/>
      <c r="S50" s="177"/>
      <c r="T50" s="177"/>
      <c r="U50" s="177"/>
      <c r="V50" s="177"/>
      <c r="W50" s="177"/>
      <c r="X50" s="177"/>
      <c r="Y50" s="178"/>
      <c r="Z50" s="30"/>
    </row>
    <row r="51" spans="1:26" ht="13.8" x14ac:dyDescent="0.3">
      <c r="A51" s="2"/>
      <c r="B51" s="12"/>
      <c r="C51" s="101"/>
      <c r="D51" s="144" t="s">
        <v>67</v>
      </c>
      <c r="E51" s="145"/>
      <c r="F51" s="145"/>
      <c r="G51" s="145"/>
      <c r="H51" s="145"/>
      <c r="I51" s="145"/>
      <c r="J51" s="145"/>
      <c r="K51" s="146"/>
      <c r="L51" s="18">
        <f>50/L50</f>
        <v>2.2571991403951572</v>
      </c>
      <c r="M51" s="225">
        <f>50/M50</f>
        <v>1.4576115163772625</v>
      </c>
      <c r="N51" s="19"/>
      <c r="O51" s="10"/>
      <c r="P51" s="176" t="s">
        <v>17</v>
      </c>
      <c r="Q51" s="177"/>
      <c r="R51" s="177"/>
      <c r="S51" s="177"/>
      <c r="T51" s="177"/>
      <c r="U51" s="177"/>
      <c r="V51" s="177"/>
      <c r="W51" s="177"/>
      <c r="X51" s="177"/>
      <c r="Y51" s="178"/>
      <c r="Z51" s="30"/>
    </row>
    <row r="52" spans="1:26" ht="13.8" thickBot="1" x14ac:dyDescent="0.3">
      <c r="A52" s="2"/>
      <c r="B52" s="12"/>
      <c r="C52" s="101"/>
      <c r="D52" s="144" t="s">
        <v>21</v>
      </c>
      <c r="E52" s="145"/>
      <c r="F52" s="145"/>
      <c r="G52" s="145"/>
      <c r="H52" s="145"/>
      <c r="I52" s="145"/>
      <c r="J52" s="145"/>
      <c r="K52" s="146"/>
      <c r="L52" s="20">
        <f>L48*100/(L47+L48+L49)</f>
        <v>72.733828331135541</v>
      </c>
      <c r="M52" s="227">
        <f>100*M48/M50</f>
        <v>93.937361492269531</v>
      </c>
      <c r="N52" s="7" t="s">
        <v>22</v>
      </c>
      <c r="O52" s="10"/>
      <c r="P52" s="154" t="s">
        <v>18</v>
      </c>
      <c r="Q52" s="155"/>
      <c r="R52" s="155"/>
      <c r="S52" s="155"/>
      <c r="T52" s="155"/>
      <c r="U52" s="155"/>
      <c r="V52" s="155"/>
      <c r="W52" s="155"/>
      <c r="X52" s="155"/>
      <c r="Y52" s="186"/>
      <c r="Z52" s="30"/>
    </row>
    <row r="53" spans="1:26" ht="13.8" thickBot="1" x14ac:dyDescent="0.3">
      <c r="A53" s="2"/>
      <c r="B53" s="14"/>
      <c r="C53" s="105"/>
      <c r="D53" s="106"/>
      <c r="E53" s="106"/>
      <c r="F53" s="106"/>
      <c r="G53" s="106"/>
      <c r="H53" s="106"/>
      <c r="I53" s="106"/>
      <c r="J53" s="106"/>
      <c r="K53" s="106"/>
      <c r="L53" s="107"/>
      <c r="M53" s="108"/>
      <c r="N53" s="104"/>
      <c r="O53" s="15"/>
      <c r="P53" s="15"/>
      <c r="Q53" s="15"/>
      <c r="R53" s="15"/>
      <c r="S53" s="15"/>
      <c r="T53" s="15"/>
      <c r="U53" s="15"/>
      <c r="V53" s="15"/>
      <c r="W53" s="31"/>
      <c r="X53" s="31"/>
      <c r="Y53" s="31"/>
      <c r="Z53" s="32"/>
    </row>
    <row r="54" spans="1:26" x14ac:dyDescent="0.25">
      <c r="A54" s="2"/>
      <c r="B54" s="91"/>
      <c r="C54" s="91"/>
      <c r="D54" s="175"/>
      <c r="E54" s="175"/>
      <c r="F54" s="175"/>
      <c r="G54" s="175"/>
      <c r="H54" s="175"/>
      <c r="I54" s="175"/>
      <c r="J54" s="175"/>
      <c r="K54" s="175"/>
      <c r="L54" s="175"/>
      <c r="M54" s="175"/>
      <c r="N54" s="91"/>
      <c r="O54" s="91"/>
      <c r="P54" s="91"/>
      <c r="Q54" s="91"/>
      <c r="R54" s="91"/>
      <c r="S54" s="91"/>
      <c r="T54" s="91"/>
      <c r="U54" s="91"/>
      <c r="V54" s="91"/>
      <c r="W54" s="91"/>
      <c r="X54" s="91"/>
      <c r="Y54" s="91"/>
      <c r="Z54" s="91"/>
    </row>
    <row r="55" spans="1:26" x14ac:dyDescent="0.25">
      <c r="A55" s="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x14ac:dyDescent="0.25">
      <c r="A56" s="2"/>
      <c r="B56" s="62"/>
      <c r="C56" s="62"/>
      <c r="D56" s="62"/>
      <c r="E56" s="62"/>
      <c r="F56" s="62"/>
      <c r="G56" s="62"/>
      <c r="H56" s="62"/>
      <c r="I56" s="62"/>
      <c r="J56" s="62"/>
      <c r="K56" s="62"/>
      <c r="L56" s="62"/>
      <c r="M56" s="62"/>
      <c r="N56" s="62"/>
      <c r="O56" s="62"/>
      <c r="P56" s="62"/>
      <c r="Q56" s="62"/>
      <c r="R56" s="92"/>
      <c r="S56" s="62"/>
      <c r="T56" s="62"/>
      <c r="U56" s="62"/>
      <c r="V56" s="62"/>
      <c r="W56" s="62"/>
      <c r="X56" s="62"/>
      <c r="Y56" s="62"/>
      <c r="Z56" s="62"/>
    </row>
    <row r="57" spans="1:26" x14ac:dyDescent="0.25">
      <c r="A57" s="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x14ac:dyDescent="0.25">
      <c r="A58" s="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x14ac:dyDescent="0.25">
      <c r="A59" s="2"/>
      <c r="B59" s="62"/>
      <c r="C59" s="62"/>
      <c r="D59" s="78"/>
      <c r="E59" s="78"/>
      <c r="F59" s="78"/>
      <c r="G59" s="78"/>
      <c r="H59" s="78"/>
      <c r="I59" s="78"/>
      <c r="J59" s="78"/>
      <c r="K59" s="78"/>
      <c r="L59" s="93"/>
      <c r="M59" s="62"/>
      <c r="N59" s="62"/>
      <c r="O59" s="62"/>
      <c r="P59" s="62"/>
      <c r="Q59" s="62"/>
      <c r="R59" s="62"/>
      <c r="S59" s="62"/>
      <c r="T59" s="62"/>
      <c r="U59" s="62"/>
      <c r="V59" s="62"/>
      <c r="W59" s="62"/>
      <c r="X59" s="62"/>
      <c r="Y59" s="62"/>
      <c r="Z59" s="62"/>
    </row>
    <row r="60" spans="1:26" x14ac:dyDescent="0.25">
      <c r="A60" s="2"/>
      <c r="B60" s="60"/>
      <c r="C60" s="60"/>
      <c r="D60" s="94"/>
      <c r="E60" s="94"/>
      <c r="F60" s="94"/>
      <c r="G60" s="94"/>
      <c r="H60" s="94"/>
      <c r="I60" s="94"/>
      <c r="J60" s="94"/>
      <c r="K60" s="94"/>
      <c r="L60" s="95"/>
      <c r="M60" s="60"/>
      <c r="N60" s="60"/>
      <c r="O60" s="60"/>
      <c r="P60" s="60"/>
      <c r="Q60" s="60"/>
      <c r="R60" s="60"/>
      <c r="S60" s="60"/>
      <c r="T60" s="60"/>
      <c r="U60" s="60"/>
      <c r="V60" s="60"/>
      <c r="W60" s="60"/>
      <c r="X60" s="60"/>
      <c r="Y60" s="60"/>
    </row>
    <row r="61" spans="1:26" x14ac:dyDescent="0.25">
      <c r="A61" s="2"/>
      <c r="B61" s="2"/>
      <c r="C61" s="2"/>
      <c r="D61" s="23"/>
      <c r="E61" s="23"/>
      <c r="F61" s="23"/>
      <c r="G61" s="23"/>
      <c r="H61" s="23"/>
      <c r="I61" s="23"/>
      <c r="J61" s="23"/>
      <c r="K61" s="23"/>
      <c r="L61" s="3"/>
      <c r="M61" s="2"/>
      <c r="N61" s="2"/>
      <c r="O61" s="2"/>
      <c r="P61" s="2"/>
      <c r="Q61" s="2"/>
      <c r="R61" s="2"/>
      <c r="S61" s="2"/>
      <c r="T61" s="2"/>
      <c r="U61" s="2"/>
      <c r="V61" s="2"/>
      <c r="W61" s="2"/>
      <c r="X61" s="2"/>
      <c r="Y61" s="2"/>
    </row>
    <row r="62" spans="1:26" x14ac:dyDescent="0.25">
      <c r="A62" s="2"/>
      <c r="B62" s="2"/>
      <c r="C62" s="2"/>
      <c r="D62" s="23"/>
      <c r="E62" s="23"/>
      <c r="F62" s="23"/>
      <c r="G62" s="23"/>
      <c r="H62" s="23"/>
      <c r="I62" s="23"/>
      <c r="J62" s="23"/>
      <c r="K62" s="23"/>
      <c r="L62" s="3"/>
      <c r="M62" s="2"/>
      <c r="N62" s="2"/>
      <c r="O62" s="2"/>
      <c r="P62" s="2"/>
      <c r="Q62" s="2"/>
      <c r="R62" s="2"/>
      <c r="S62" s="2"/>
      <c r="T62" s="2"/>
      <c r="U62" s="2"/>
      <c r="V62" s="2"/>
      <c r="W62" s="2"/>
      <c r="X62" s="2"/>
      <c r="Y62" s="2"/>
    </row>
    <row r="63" spans="1:26" x14ac:dyDescent="0.25">
      <c r="A63" s="2"/>
      <c r="B63" s="2"/>
      <c r="C63" s="2"/>
      <c r="D63" s="23"/>
      <c r="E63" s="23"/>
      <c r="F63" s="23"/>
      <c r="G63" s="23"/>
      <c r="H63" s="23"/>
      <c r="I63" s="23"/>
      <c r="J63" s="23"/>
      <c r="K63" s="23"/>
      <c r="L63" s="3"/>
      <c r="M63" s="2"/>
      <c r="N63" s="2"/>
      <c r="O63" s="2"/>
      <c r="P63" s="2"/>
      <c r="Q63" s="2"/>
      <c r="R63" s="2"/>
      <c r="S63" s="2"/>
      <c r="T63" s="2"/>
      <c r="U63" s="2"/>
      <c r="V63" s="2"/>
      <c r="W63" s="2"/>
      <c r="X63" s="2"/>
      <c r="Y63" s="2"/>
    </row>
    <row r="64" spans="1:26" x14ac:dyDescent="0.25">
      <c r="A64" s="2"/>
      <c r="B64" s="2"/>
      <c r="C64" s="2"/>
      <c r="D64" s="23"/>
      <c r="E64" s="23"/>
      <c r="F64" s="23"/>
      <c r="G64" s="23"/>
      <c r="H64" s="23"/>
      <c r="I64" s="23"/>
      <c r="J64" s="23"/>
      <c r="K64" s="23"/>
      <c r="L64" s="3"/>
      <c r="M64" s="2"/>
      <c r="N64" s="2"/>
      <c r="O64" s="2"/>
      <c r="P64" s="2"/>
      <c r="Q64" s="2"/>
      <c r="R64" s="2"/>
      <c r="S64" s="2"/>
      <c r="T64" s="2"/>
      <c r="U64" s="2"/>
      <c r="V64" s="2"/>
      <c r="W64" s="2"/>
      <c r="X64" s="2"/>
      <c r="Y64" s="2"/>
    </row>
    <row r="65" spans="1:25" x14ac:dyDescent="0.25">
      <c r="A65" s="2"/>
      <c r="B65" s="2"/>
      <c r="C65" s="2"/>
      <c r="D65" s="23"/>
      <c r="E65" s="23"/>
      <c r="F65" s="23"/>
      <c r="G65" s="23"/>
      <c r="H65" s="23"/>
      <c r="I65" s="23"/>
      <c r="J65" s="23"/>
      <c r="K65" s="23"/>
      <c r="L65" s="3"/>
      <c r="M65" s="2"/>
      <c r="N65" s="2"/>
      <c r="O65" s="2"/>
      <c r="P65" s="2"/>
      <c r="Q65" s="2"/>
      <c r="R65" s="2"/>
      <c r="S65" s="2"/>
      <c r="T65" s="2"/>
      <c r="U65" s="2"/>
      <c r="V65" s="2"/>
      <c r="W65" s="2"/>
      <c r="X65" s="2"/>
      <c r="Y65" s="2"/>
    </row>
    <row r="66" spans="1:25" x14ac:dyDescent="0.25">
      <c r="A66" s="2"/>
      <c r="B66" s="2"/>
      <c r="C66" s="2"/>
      <c r="D66" s="23"/>
      <c r="E66" s="23"/>
      <c r="F66" s="23"/>
      <c r="G66" s="23"/>
      <c r="H66" s="23"/>
      <c r="I66" s="23"/>
      <c r="J66" s="23"/>
      <c r="K66" s="23"/>
      <c r="L66" s="3"/>
      <c r="M66" s="2"/>
      <c r="N66" s="2"/>
      <c r="O66" s="2"/>
      <c r="P66" s="2"/>
      <c r="Q66" s="2"/>
      <c r="R66" s="2"/>
      <c r="S66" s="2"/>
      <c r="T66" s="2"/>
      <c r="U66" s="2"/>
      <c r="V66" s="2"/>
      <c r="W66" s="2"/>
      <c r="X66" s="2"/>
      <c r="Y66" s="2"/>
    </row>
    <row r="67" spans="1:25" x14ac:dyDescent="0.25">
      <c r="A67" s="2"/>
      <c r="B67" s="2"/>
      <c r="C67" s="2"/>
      <c r="D67" s="23"/>
      <c r="E67" s="23"/>
      <c r="F67" s="23"/>
      <c r="G67" s="23"/>
      <c r="H67" s="23"/>
      <c r="I67" s="23"/>
      <c r="J67" s="23"/>
      <c r="K67" s="23"/>
      <c r="L67" s="3"/>
      <c r="M67" s="2"/>
      <c r="N67" s="2"/>
      <c r="O67" s="2"/>
      <c r="P67" s="2"/>
      <c r="Q67" s="2"/>
      <c r="R67" s="2"/>
      <c r="S67" s="2"/>
      <c r="T67" s="2"/>
      <c r="U67" s="2"/>
      <c r="V67" s="2"/>
      <c r="W67" s="2"/>
      <c r="X67" s="2"/>
      <c r="Y67" s="2"/>
    </row>
    <row r="68" spans="1:25" x14ac:dyDescent="0.25">
      <c r="A68" s="2"/>
      <c r="B68" s="2"/>
      <c r="C68" s="2"/>
      <c r="D68" s="23"/>
      <c r="E68" s="23"/>
      <c r="F68" s="23"/>
      <c r="G68" s="23"/>
      <c r="H68" s="23"/>
      <c r="I68" s="23"/>
      <c r="J68" s="23"/>
      <c r="K68" s="23"/>
      <c r="L68" s="3"/>
      <c r="M68" s="2"/>
      <c r="N68" s="2"/>
      <c r="O68" s="2"/>
      <c r="P68" s="2"/>
      <c r="Q68" s="2"/>
      <c r="R68" s="2"/>
      <c r="S68" s="2"/>
      <c r="T68" s="2"/>
      <c r="U68" s="2"/>
      <c r="V68" s="2"/>
      <c r="W68" s="2"/>
      <c r="X68" s="2"/>
      <c r="Y68" s="2"/>
    </row>
    <row r="69" spans="1:25" x14ac:dyDescent="0.25">
      <c r="A69" s="2"/>
      <c r="B69" s="2"/>
      <c r="C69" s="2"/>
      <c r="D69" s="23"/>
      <c r="E69" s="23"/>
      <c r="F69" s="23"/>
      <c r="G69" s="23"/>
      <c r="H69" s="23"/>
      <c r="I69" s="23"/>
      <c r="J69" s="23"/>
      <c r="K69" s="23"/>
      <c r="L69" s="3"/>
      <c r="M69" s="2"/>
      <c r="N69" s="2"/>
      <c r="O69" s="2"/>
      <c r="P69" s="2"/>
      <c r="Q69" s="2"/>
      <c r="R69" s="2"/>
      <c r="S69" s="2"/>
      <c r="T69" s="2"/>
      <c r="U69" s="2"/>
      <c r="V69" s="2"/>
      <c r="W69" s="2"/>
      <c r="X69" s="2"/>
      <c r="Y69" s="2"/>
    </row>
    <row r="70" spans="1:25" x14ac:dyDescent="0.25">
      <c r="A70" s="2"/>
      <c r="B70" s="2"/>
      <c r="C70" s="2"/>
      <c r="D70" s="23"/>
      <c r="E70" s="23"/>
      <c r="F70" s="23"/>
      <c r="G70" s="23"/>
      <c r="H70" s="23"/>
      <c r="I70" s="23"/>
      <c r="J70" s="23"/>
      <c r="K70" s="23"/>
      <c r="L70" s="3"/>
      <c r="M70" s="2"/>
      <c r="N70" s="2"/>
      <c r="O70" s="2"/>
      <c r="P70" s="2"/>
      <c r="Q70" s="2"/>
      <c r="R70" s="2"/>
      <c r="S70" s="2"/>
      <c r="T70" s="2"/>
      <c r="U70" s="2"/>
      <c r="V70" s="2"/>
      <c r="W70" s="2"/>
      <c r="X70" s="2"/>
      <c r="Y70" s="2"/>
    </row>
    <row r="71" spans="1:25" x14ac:dyDescent="0.25">
      <c r="A71" s="2"/>
      <c r="B71" s="2"/>
      <c r="C71" s="2"/>
      <c r="D71" s="23"/>
      <c r="E71" s="23"/>
      <c r="F71" s="23"/>
      <c r="G71" s="23"/>
      <c r="H71" s="23"/>
      <c r="I71" s="23"/>
      <c r="J71" s="23"/>
      <c r="K71" s="23"/>
      <c r="L71" s="3"/>
      <c r="M71" s="2"/>
      <c r="N71" s="2"/>
      <c r="O71" s="2"/>
      <c r="P71" s="2"/>
      <c r="Q71" s="2"/>
      <c r="R71" s="2"/>
      <c r="S71" s="2"/>
      <c r="T71" s="2"/>
      <c r="U71" s="2"/>
      <c r="V71" s="2"/>
      <c r="W71" s="2"/>
      <c r="X71" s="2"/>
      <c r="Y71" s="2"/>
    </row>
    <row r="72" spans="1:25" x14ac:dyDescent="0.25">
      <c r="A72" s="2"/>
      <c r="B72" s="2"/>
      <c r="C72" s="2"/>
      <c r="D72" s="23"/>
      <c r="E72" s="23"/>
      <c r="F72" s="23"/>
      <c r="G72" s="23"/>
      <c r="H72" s="23"/>
      <c r="I72" s="23"/>
      <c r="J72" s="23"/>
      <c r="K72" s="23"/>
      <c r="L72" s="3"/>
      <c r="M72" s="2"/>
      <c r="N72" s="2"/>
      <c r="O72" s="2"/>
      <c r="P72" s="2"/>
      <c r="Q72" s="2"/>
      <c r="R72" s="2"/>
      <c r="S72" s="2"/>
      <c r="T72" s="2"/>
      <c r="U72" s="2"/>
      <c r="V72" s="2"/>
      <c r="W72" s="2"/>
      <c r="X72" s="2"/>
      <c r="Y72" s="2"/>
    </row>
    <row r="73" spans="1:25" x14ac:dyDescent="0.25">
      <c r="A73" s="2"/>
      <c r="B73" s="2"/>
      <c r="C73" s="2"/>
      <c r="D73" s="23"/>
      <c r="E73" s="23"/>
      <c r="F73" s="23"/>
      <c r="G73" s="23"/>
      <c r="H73" s="23"/>
      <c r="I73" s="23"/>
      <c r="J73" s="23"/>
      <c r="K73" s="23"/>
      <c r="L73" s="3"/>
      <c r="M73" s="2"/>
      <c r="N73" s="2"/>
      <c r="O73" s="2"/>
      <c r="P73" s="2"/>
      <c r="Q73" s="2"/>
      <c r="R73" s="2"/>
      <c r="S73" s="2"/>
      <c r="T73" s="2"/>
      <c r="U73" s="2"/>
      <c r="V73" s="2"/>
      <c r="W73" s="2"/>
      <c r="X73" s="2"/>
      <c r="Y73" s="2"/>
    </row>
    <row r="74" spans="1:25" x14ac:dyDescent="0.25">
      <c r="A74" s="2"/>
      <c r="B74" s="2"/>
      <c r="C74" s="2"/>
      <c r="D74" s="23"/>
      <c r="E74" s="23"/>
      <c r="F74" s="23"/>
      <c r="G74" s="23"/>
      <c r="H74" s="23"/>
      <c r="I74" s="23"/>
      <c r="J74" s="23"/>
      <c r="K74" s="23"/>
      <c r="L74" s="3"/>
      <c r="M74" s="2"/>
      <c r="N74" s="2"/>
      <c r="O74" s="2"/>
      <c r="P74" s="2"/>
      <c r="Q74" s="2"/>
      <c r="R74" s="2"/>
      <c r="S74" s="2"/>
      <c r="T74" s="2"/>
      <c r="U74" s="2"/>
      <c r="V74" s="2"/>
      <c r="W74" s="2"/>
      <c r="X74" s="2"/>
      <c r="Y74" s="2"/>
    </row>
    <row r="75" spans="1:25" x14ac:dyDescent="0.25">
      <c r="A75" s="2"/>
      <c r="B75" s="2"/>
      <c r="C75" s="2"/>
      <c r="D75" s="23"/>
      <c r="E75" s="23"/>
      <c r="F75" s="23"/>
      <c r="G75" s="23"/>
      <c r="H75" s="23"/>
      <c r="I75" s="23"/>
      <c r="J75" s="23"/>
      <c r="K75" s="23"/>
      <c r="L75" s="3"/>
      <c r="M75" s="2"/>
      <c r="N75" s="2"/>
      <c r="O75" s="2"/>
      <c r="P75" s="2"/>
      <c r="Q75" s="2"/>
      <c r="R75" s="2"/>
      <c r="S75" s="2"/>
      <c r="T75" s="2"/>
      <c r="U75" s="2"/>
      <c r="V75" s="2"/>
      <c r="W75" s="2"/>
      <c r="X75" s="2"/>
      <c r="Y75" s="2"/>
    </row>
    <row r="76" spans="1:25" x14ac:dyDescent="0.25">
      <c r="A76" s="2"/>
      <c r="B76" s="2"/>
      <c r="C76" s="2"/>
      <c r="D76" s="23"/>
      <c r="E76" s="23"/>
      <c r="F76" s="23"/>
      <c r="G76" s="23"/>
      <c r="H76" s="23"/>
      <c r="I76" s="23"/>
      <c r="J76" s="23"/>
      <c r="K76" s="23"/>
      <c r="L76" s="3"/>
      <c r="M76" s="2"/>
      <c r="N76" s="2"/>
      <c r="O76" s="2"/>
      <c r="P76" s="2"/>
      <c r="Q76" s="2"/>
      <c r="R76" s="2"/>
      <c r="S76" s="2"/>
      <c r="T76" s="2"/>
      <c r="U76" s="2"/>
      <c r="V76" s="2"/>
    </row>
    <row r="77" spans="1:25" x14ac:dyDescent="0.25">
      <c r="A77" s="2"/>
      <c r="B77" s="2"/>
      <c r="C77" s="2"/>
      <c r="D77" s="23"/>
      <c r="E77" s="23"/>
      <c r="F77" s="23"/>
      <c r="G77" s="23"/>
      <c r="H77" s="23"/>
      <c r="I77" s="23"/>
      <c r="J77" s="23"/>
      <c r="K77" s="23"/>
      <c r="L77" s="3"/>
      <c r="M77" s="2"/>
      <c r="N77" s="2"/>
      <c r="O77" s="2"/>
      <c r="P77" s="2"/>
      <c r="Q77" s="2"/>
      <c r="R77" s="2"/>
      <c r="S77" s="2"/>
      <c r="T77" s="2"/>
      <c r="U77" s="2"/>
      <c r="V77" s="2"/>
    </row>
    <row r="78" spans="1:25" x14ac:dyDescent="0.25">
      <c r="A78" s="2"/>
      <c r="B78" s="2"/>
      <c r="C78" s="2"/>
      <c r="D78" s="23"/>
      <c r="E78" s="23"/>
      <c r="F78" s="23"/>
      <c r="G78" s="23"/>
      <c r="H78" s="23"/>
      <c r="I78" s="23"/>
      <c r="J78" s="23"/>
      <c r="K78" s="23"/>
      <c r="L78" s="3"/>
      <c r="M78" s="2"/>
      <c r="N78" s="2"/>
      <c r="O78" s="2"/>
      <c r="P78" s="2"/>
      <c r="Q78" s="2"/>
      <c r="R78" s="2"/>
      <c r="S78" s="2"/>
      <c r="T78" s="2"/>
      <c r="U78" s="2"/>
      <c r="V78" s="2"/>
    </row>
    <row r="79" spans="1:25" x14ac:dyDescent="0.25">
      <c r="A79" s="2"/>
      <c r="B79" s="2"/>
      <c r="C79" s="2"/>
      <c r="D79" s="23"/>
      <c r="E79" s="23"/>
      <c r="F79" s="23"/>
      <c r="G79" s="23"/>
      <c r="H79" s="23"/>
      <c r="I79" s="23"/>
      <c r="J79" s="23"/>
      <c r="K79" s="23"/>
      <c r="L79" s="3"/>
      <c r="M79" s="2"/>
      <c r="N79" s="2"/>
      <c r="O79" s="2"/>
      <c r="P79" s="2"/>
      <c r="Q79" s="2"/>
      <c r="R79" s="2"/>
      <c r="S79" s="2"/>
      <c r="T79" s="2"/>
      <c r="U79" s="2"/>
      <c r="V79" s="2"/>
    </row>
    <row r="80" spans="1:25" x14ac:dyDescent="0.25">
      <c r="A80" s="2"/>
      <c r="B80" s="2"/>
      <c r="C80" s="2"/>
      <c r="D80" s="23"/>
      <c r="E80" s="23"/>
      <c r="F80" s="23"/>
      <c r="G80" s="23"/>
      <c r="H80" s="23"/>
      <c r="I80" s="23"/>
      <c r="J80" s="23"/>
      <c r="K80" s="23"/>
      <c r="L80" s="3"/>
      <c r="M80" s="2"/>
      <c r="N80" s="2"/>
      <c r="O80" s="2"/>
      <c r="P80" s="2"/>
      <c r="Q80" s="2"/>
      <c r="R80" s="2"/>
      <c r="S80" s="2"/>
      <c r="T80" s="2"/>
      <c r="U80" s="2"/>
      <c r="V80" s="2"/>
    </row>
    <row r="81" spans="1:22" x14ac:dyDescent="0.25">
      <c r="A81" s="2"/>
      <c r="B81" s="2"/>
      <c r="C81" s="2"/>
      <c r="D81" s="23"/>
      <c r="E81" s="23"/>
      <c r="F81" s="23"/>
      <c r="G81" s="23"/>
      <c r="H81" s="23"/>
      <c r="I81" s="23"/>
      <c r="J81" s="23"/>
      <c r="K81" s="23"/>
      <c r="L81" s="3"/>
      <c r="M81" s="2"/>
      <c r="N81" s="2"/>
      <c r="O81" s="2"/>
      <c r="P81" s="2"/>
      <c r="Q81" s="2"/>
      <c r="R81" s="2"/>
      <c r="S81" s="2"/>
      <c r="T81" s="2"/>
      <c r="U81" s="2"/>
      <c r="V81" s="2"/>
    </row>
  </sheetData>
  <mergeCells count="59">
    <mergeCell ref="P35:Q35"/>
    <mergeCell ref="D3:Y4"/>
    <mergeCell ref="D27:K27"/>
    <mergeCell ref="D28:K28"/>
    <mergeCell ref="P23:Y23"/>
    <mergeCell ref="P18:Y18"/>
    <mergeCell ref="P19:Y19"/>
    <mergeCell ref="P20:Y20"/>
    <mergeCell ref="P21:Y21"/>
    <mergeCell ref="P22:Y22"/>
    <mergeCell ref="D18:K18"/>
    <mergeCell ref="D19:K19"/>
    <mergeCell ref="D20:K20"/>
    <mergeCell ref="D13:K13"/>
    <mergeCell ref="P28:Y28"/>
    <mergeCell ref="D6:L6"/>
    <mergeCell ref="D49:K49"/>
    <mergeCell ref="D50:K50"/>
    <mergeCell ref="D35:K35"/>
    <mergeCell ref="D36:K36"/>
    <mergeCell ref="D39:K39"/>
    <mergeCell ref="D34:M34"/>
    <mergeCell ref="D41:K41"/>
    <mergeCell ref="D40:K40"/>
    <mergeCell ref="D47:K47"/>
    <mergeCell ref="D48:K48"/>
    <mergeCell ref="D25:M25"/>
    <mergeCell ref="AE42:AE44"/>
    <mergeCell ref="AE21:AE22"/>
    <mergeCell ref="AF21:AF22"/>
    <mergeCell ref="D54:M54"/>
    <mergeCell ref="D9:K9"/>
    <mergeCell ref="P51:Y51"/>
    <mergeCell ref="P17:Y17"/>
    <mergeCell ref="P15:Y15"/>
    <mergeCell ref="D38:M38"/>
    <mergeCell ref="P52:Y52"/>
    <mergeCell ref="P47:Y47"/>
    <mergeCell ref="P48:Y48"/>
    <mergeCell ref="P49:Y49"/>
    <mergeCell ref="P50:Y50"/>
    <mergeCell ref="P27:Y27"/>
    <mergeCell ref="D22:K22"/>
    <mergeCell ref="AC3:AC4"/>
    <mergeCell ref="D52:K52"/>
    <mergeCell ref="R8:T8"/>
    <mergeCell ref="O13:P13"/>
    <mergeCell ref="M8:N8"/>
    <mergeCell ref="B31:Z31"/>
    <mergeCell ref="D23:K23"/>
    <mergeCell ref="D8:K8"/>
    <mergeCell ref="D12:K12"/>
    <mergeCell ref="D10:K10"/>
    <mergeCell ref="D11:K11"/>
    <mergeCell ref="D21:K21"/>
    <mergeCell ref="D17:K17"/>
    <mergeCell ref="D15:M15"/>
    <mergeCell ref="D51:K51"/>
    <mergeCell ref="P34:Y34"/>
  </mergeCells>
  <phoneticPr fontId="1" type="noConversion"/>
  <hyperlinks>
    <hyperlink ref="P34" r:id="rId1" location="input" display="https://hamwaves.com/inductance/en/index.html#input" xr:uid="{00000000-0004-0000-0000-000000000000}"/>
  </hyperlinks>
  <pageMargins left="0.75" right="0.75" top="1" bottom="1" header="0" footer="0"/>
  <pageSetup paperSize="9" orientation="portrait" horizontalDpi="4294967293" verticalDpi="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dc:creator>
  <cp:lastModifiedBy>Usuario de Windows</cp:lastModifiedBy>
  <dcterms:created xsi:type="dcterms:W3CDTF">2012-09-01T07:54:59Z</dcterms:created>
  <dcterms:modified xsi:type="dcterms:W3CDTF">2021-06-12T12:03:26Z</dcterms:modified>
</cp:coreProperties>
</file>