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ANTENAS\Apuntes antenas\Calculadores\"/>
    </mc:Choice>
  </mc:AlternateContent>
  <xr:revisionPtr revIDLastSave="0" documentId="13_ncr:1_{EA18B110-93F3-4F24-B3A0-69B8521204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CULO DE TRAMPAS PARA DIPOLOS" sheetId="4" r:id="rId1"/>
    <sheet name="BOBINA PARA RADIADORES CORTOS" sheetId="3" r:id="rId2"/>
  </sheets>
  <calcPr calcId="181029"/>
</workbook>
</file>

<file path=xl/calcChain.xml><?xml version="1.0" encoding="utf-8"?>
<calcChain xmlns="http://schemas.openxmlformats.org/spreadsheetml/2006/main">
  <c r="L14" i="4" l="1"/>
  <c r="J14" i="4" l="1"/>
  <c r="F15" i="4" l="1"/>
  <c r="X18" i="4" l="1"/>
  <c r="W19" i="4" s="1"/>
  <c r="X24" i="4" s="1"/>
  <c r="K25" i="4"/>
  <c r="W14" i="4" l="1"/>
  <c r="X10" i="4" l="1"/>
  <c r="Z11" i="4" l="1"/>
  <c r="Z10" i="4"/>
  <c r="X5" i="4"/>
  <c r="X7" i="4" s="1"/>
  <c r="Z7" i="4" l="1"/>
  <c r="W12" i="4"/>
  <c r="Z12" i="4"/>
  <c r="Z14" i="4" s="1"/>
  <c r="M36" i="4"/>
  <c r="K26" i="4"/>
  <c r="K28" i="4" s="1"/>
  <c r="J34" i="4"/>
  <c r="F18" i="4"/>
  <c r="K14" i="4"/>
  <c r="K10" i="4"/>
  <c r="K20" i="4" s="1"/>
  <c r="J10" i="4"/>
  <c r="J20" i="4" s="1"/>
  <c r="N7" i="4"/>
  <c r="P27" i="4" l="1"/>
  <c r="N22" i="4"/>
  <c r="Q22" i="4" s="1"/>
  <c r="L34" i="4" s="1"/>
  <c r="K29" i="4"/>
  <c r="K27" i="4"/>
  <c r="L10" i="4"/>
  <c r="K30" i="4" l="1"/>
  <c r="M26" i="4" s="1"/>
  <c r="L33" i="4"/>
  <c r="N14" i="4"/>
  <c r="M10" i="4" s="1"/>
  <c r="M14" i="4"/>
  <c r="J32" i="4"/>
  <c r="M32" i="4" l="1"/>
  <c r="M27" i="4"/>
  <c r="M34" i="4" s="1"/>
  <c r="P10" i="4"/>
  <c r="N10" i="4" s="1"/>
  <c r="L20" i="4" s="1"/>
  <c r="P14" i="4"/>
  <c r="N20" i="4" l="1"/>
  <c r="P20" i="4" s="1"/>
  <c r="M20" i="4"/>
  <c r="D21" i="3"/>
  <c r="D17" i="3"/>
  <c r="D20" i="3"/>
  <c r="D19" i="3" l="1"/>
  <c r="D18" i="3"/>
  <c r="D23" i="3"/>
  <c r="D22" i="3"/>
  <c r="D32" i="3" s="1"/>
  <c r="D27" i="3" l="1"/>
  <c r="K32" i="3"/>
  <c r="D28" i="3" l="1"/>
  <c r="H33" i="3" s="1"/>
  <c r="F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Este valor, la experiencia dicta que se debe comenzar por una reactancia de 300 ohmios. 
Variarlo hasta que los valores de L y C sean practicables y el valor de L/C mayor de 90.000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Variar el valor hasta una capacidad asequible y L/C por encima de 40.000. (Xl &gt; 200 </t>
        </r>
        <r>
          <rPr>
            <sz val="9"/>
            <color indexed="81"/>
            <rFont val="Calibri"/>
            <family val="2"/>
          </rPr>
          <t>Ω</t>
        </r>
        <r>
          <rPr>
            <sz val="8.1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<sst xmlns="http://schemas.openxmlformats.org/spreadsheetml/2006/main" count="150" uniqueCount="122">
  <si>
    <t>Diametro interior de la bobina(cm)</t>
  </si>
  <si>
    <t>N</t>
  </si>
  <si>
    <t>Q</t>
  </si>
  <si>
    <t>Diametro de hilo de antena (mm)</t>
  </si>
  <si>
    <t>Zo hilo antena</t>
  </si>
  <si>
    <t>L/C</t>
  </si>
  <si>
    <t>β</t>
  </si>
  <si>
    <t>Diametro del hilo bobina (mm)</t>
  </si>
  <si>
    <t>Frecuencia superior (Mhz)</t>
  </si>
  <si>
    <t>Frecuencia inferior (MHz)</t>
  </si>
  <si>
    <t>Reactancia de L y C de la trampa  (en paralelo)</t>
  </si>
  <si>
    <r>
      <t>l</t>
    </r>
    <r>
      <rPr>
        <sz val="10"/>
        <rFont val="Arial"/>
        <family val="2"/>
      </rPr>
      <t xml:space="preserve"> </t>
    </r>
  </si>
  <si>
    <t xml:space="preserve"> βH</t>
  </si>
  <si>
    <t>X tope interior</t>
  </si>
  <si>
    <t>X exterior</t>
  </si>
  <si>
    <t>Long exterior</t>
  </si>
  <si>
    <t>mts</t>
  </si>
  <si>
    <t>Long.interior</t>
  </si>
  <si>
    <t xml:space="preserve"> (esp/cm)</t>
  </si>
  <si>
    <t>Long bobina(cm)</t>
  </si>
  <si>
    <t>x</t>
  </si>
  <si>
    <t>Long hilo (mts)</t>
  </si>
  <si>
    <t>Carga combinada de las XL y Xc de la trampa en paralelo =</t>
  </si>
  <si>
    <t>Ver nota</t>
  </si>
  <si>
    <t>NOTA</t>
  </si>
  <si>
    <t>ENTRADA DE DATOS</t>
  </si>
  <si>
    <r>
      <t xml:space="preserve">Tramo interior (1/4 de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>)</t>
    </r>
  </si>
  <si>
    <t>W</t>
  </si>
  <si>
    <r>
      <t>m</t>
    </r>
    <r>
      <rPr>
        <sz val="10"/>
        <rFont val="Arial"/>
        <family val="2"/>
      </rPr>
      <t>H</t>
    </r>
  </si>
  <si>
    <t>l</t>
  </si>
  <si>
    <t>mH</t>
  </si>
  <si>
    <t>CALCULOS</t>
  </si>
  <si>
    <t>RESULTADO</t>
  </si>
  <si>
    <t>Valores de la trampa resonante a</t>
  </si>
  <si>
    <t>MHz</t>
  </si>
  <si>
    <t xml:space="preserve">Actuando como carga para </t>
  </si>
  <si>
    <r>
      <t>L (</t>
    </r>
    <r>
      <rPr>
        <b/>
        <sz val="10"/>
        <color indexed="10"/>
        <rFont val="Symbol"/>
        <family val="1"/>
        <charset val="2"/>
      </rPr>
      <t>m</t>
    </r>
    <r>
      <rPr>
        <b/>
        <sz val="10"/>
        <color indexed="10"/>
        <rFont val="Arial"/>
        <family val="2"/>
      </rPr>
      <t>H)</t>
    </r>
  </si>
  <si>
    <r>
      <t>C (</t>
    </r>
    <r>
      <rPr>
        <b/>
        <sz val="10"/>
        <color indexed="10"/>
        <rFont val="Symbol"/>
        <family val="1"/>
        <charset val="2"/>
      </rPr>
      <t>r</t>
    </r>
    <r>
      <rPr>
        <b/>
        <sz val="10"/>
        <color indexed="10"/>
        <rFont val="Arial"/>
        <family val="2"/>
      </rPr>
      <t>F)</t>
    </r>
  </si>
  <si>
    <t>CALCULO DE LA BOBINA DE CARGA PARA UNA ANTENA CORTA (Monopolo o rama de dipolo)</t>
  </si>
  <si>
    <t>ENTRADA DATOS</t>
  </si>
  <si>
    <t>Frecuencia MHz</t>
  </si>
  <si>
    <t>Carga</t>
  </si>
  <si>
    <t>Inductiva</t>
  </si>
  <si>
    <t>Tramo interno (mts)</t>
  </si>
  <si>
    <t>Tramo interno</t>
  </si>
  <si>
    <t>Tramo externo</t>
  </si>
  <si>
    <t>Tramo externo (mts)</t>
  </si>
  <si>
    <t>Radio tramo interno m/m</t>
  </si>
  <si>
    <t>Radio tramo externo m/m</t>
  </si>
  <si>
    <t>Tope tramo interno</t>
  </si>
  <si>
    <t>Entrada tramo externo</t>
  </si>
  <si>
    <t>FORMULAS</t>
  </si>
  <si>
    <t>βH interno</t>
  </si>
  <si>
    <t>rad.</t>
  </si>
  <si>
    <r>
      <t>2π*Tramo interno/</t>
    </r>
    <r>
      <rPr>
        <sz val="10"/>
        <rFont val="Symbol"/>
        <family val="1"/>
        <charset val="2"/>
      </rPr>
      <t>l</t>
    </r>
  </si>
  <si>
    <t>βH externo</t>
  </si>
  <si>
    <t>Zo interno</t>
  </si>
  <si>
    <t>Zo externo</t>
  </si>
  <si>
    <t>X tope tramo interno</t>
  </si>
  <si>
    <t>X entrada tramo externo</t>
  </si>
  <si>
    <t>[-Zo externo/TAN(βH externo)]</t>
  </si>
  <si>
    <t>X carga</t>
  </si>
  <si>
    <r>
      <t>X carga/2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F</t>
    </r>
  </si>
  <si>
    <t>(Dado que en resonancia, la X del tramo interno, vista desde su tope hacia el punto de alimentacion (X=0) es una LT cortocircuitada</t>
  </si>
  <si>
    <r>
      <t xml:space="preserve">y menor de 0'25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,tiene un valor de </t>
    </r>
  </si>
  <si>
    <t>y es necesario compensar la X capacitiva del tramo externo, de valor</t>
  </si>
  <si>
    <t xml:space="preserve">añadir entre los dos tramos, una X inductiva de </t>
  </si>
  <si>
    <r>
      <t xml:space="preserve">W, </t>
    </r>
    <r>
      <rPr>
        <sz val="10"/>
        <rFont val="Arial"/>
        <family val="2"/>
      </rPr>
      <t xml:space="preserve">equivalente a </t>
    </r>
  </si>
  <si>
    <r>
      <t>m</t>
    </r>
    <r>
      <rPr>
        <sz val="10"/>
        <rFont val="Arial"/>
        <family val="2"/>
      </rPr>
      <t>H)</t>
    </r>
  </si>
  <si>
    <r>
      <t>W</t>
    </r>
    <r>
      <rPr>
        <sz val="10"/>
        <rFont val="Arial"/>
        <family val="2"/>
      </rPr>
      <t xml:space="preserve">, y hay que </t>
    </r>
  </si>
  <si>
    <t>[-(X entrada tramo externo-X tope tramo interno)]</t>
  </si>
  <si>
    <r>
      <t>L carga (</t>
    </r>
    <r>
      <rPr>
        <b/>
        <sz val="10"/>
        <color indexed="10"/>
        <rFont val="Symbol"/>
        <family val="1"/>
        <charset val="2"/>
      </rPr>
      <t>mH)</t>
    </r>
  </si>
  <si>
    <t>300/Frecuencia en MHz</t>
  </si>
  <si>
    <t>60*[ln(2*tramo interno*1000/radio interno)-1]</t>
  </si>
  <si>
    <t>60*[(ln(2*tramo externo*1000/radio externo)-1]</t>
  </si>
  <si>
    <t>[-Zo interno*tan(βH interno)]</t>
  </si>
  <si>
    <r>
      <t>Reactancia de la bobina(</t>
    </r>
    <r>
      <rPr>
        <i/>
        <sz val="10"/>
        <rFont val="Symbol"/>
        <family val="1"/>
        <charset val="2"/>
      </rPr>
      <t>W)</t>
    </r>
  </si>
  <si>
    <t>X</t>
  </si>
  <si>
    <t>int</t>
  </si>
  <si>
    <r>
      <t>X</t>
    </r>
    <r>
      <rPr>
        <sz val="8"/>
        <rFont val="Arial"/>
        <family val="2"/>
      </rPr>
      <t>bob</t>
    </r>
    <r>
      <rPr>
        <sz val="10"/>
        <rFont val="Arial"/>
        <family val="2"/>
      </rPr>
      <t xml:space="preserve"> </t>
    </r>
  </si>
  <si>
    <t>Tope interior</t>
  </si>
  <si>
    <t xml:space="preserve">              'X=(Xint+(-Xbob))'</t>
  </si>
  <si>
    <t>Z (R) en resonancia</t>
  </si>
  <si>
    <t>Long/Diám</t>
  </si>
  <si>
    <t>R paralelo</t>
  </si>
  <si>
    <t>R serie</t>
  </si>
  <si>
    <t>Diseño bobina de hilo</t>
  </si>
  <si>
    <t>Cálculo del tramo exterior</t>
  </si>
  <si>
    <r>
      <t xml:space="preserve">W </t>
    </r>
    <r>
      <rPr>
        <sz val="10"/>
        <rFont val="Arial"/>
        <family val="2"/>
      </rPr>
      <t>correspondientes a</t>
    </r>
    <r>
      <rPr>
        <sz val="10"/>
        <rFont val="Symbol"/>
        <family val="1"/>
        <charset val="2"/>
      </rPr>
      <t xml:space="preserve"> </t>
    </r>
  </si>
  <si>
    <t>Radio de la forma (cm)</t>
  </si>
  <si>
    <t>Superficie de cada placa</t>
  </si>
  <si>
    <t>pF</t>
  </si>
  <si>
    <t>CALCULO DE TRAMPAS PARA DIPOLO MULTIBANDA (2 FRECUENCIAS)</t>
  </si>
  <si>
    <t>Diámetro del tubo</t>
  </si>
  <si>
    <t>Circunferencia interior del tubo</t>
  </si>
  <si>
    <t>Anchura de la placa de cobre (a 2 mm del borde)</t>
  </si>
  <si>
    <t>Longitud  de la placa a 5 m/m del borde</t>
  </si>
  <si>
    <t>separación de las placas</t>
  </si>
  <si>
    <t>CAPACIDAD</t>
  </si>
  <si>
    <t>Media circunferencia interior del tubo</t>
  </si>
  <si>
    <t>Longitud del dielectrico</t>
  </si>
  <si>
    <t>m/m</t>
  </si>
  <si>
    <r>
      <t>mts</t>
    </r>
    <r>
      <rPr>
        <vertAlign val="superscript"/>
        <sz val="14"/>
        <rFont val="Arial"/>
        <family val="2"/>
      </rPr>
      <t>2</t>
    </r>
  </si>
  <si>
    <t>constante dieléctrica del aislante (vp)</t>
  </si>
  <si>
    <t>DISEÑO DE LA CAPACIDAD PARA LA TRAMPA (placas paralelas)</t>
  </si>
  <si>
    <t>Xl</t>
  </si>
  <si>
    <t>Xc</t>
  </si>
  <si>
    <t>Xl como carga</t>
  </si>
  <si>
    <r>
      <t xml:space="preserve"> R pérdidas (</t>
    </r>
    <r>
      <rPr>
        <sz val="10"/>
        <rFont val="Symbol"/>
        <family val="1"/>
        <charset val="2"/>
      </rPr>
      <t xml:space="preserve">W) </t>
    </r>
  </si>
  <si>
    <t>Q (Merdhust)</t>
  </si>
  <si>
    <t>Resonancia de la Trampa (Mhz)</t>
  </si>
  <si>
    <t>Diámetro</t>
  </si>
  <si>
    <t>Diámetro interior</t>
  </si>
  <si>
    <t>lamina exterior diámetro interno</t>
  </si>
  <si>
    <t xml:space="preserve">Espesor dielectrico </t>
  </si>
  <si>
    <t>lamina interior diametro externo</t>
  </si>
  <si>
    <t xml:space="preserve">Constante dieléctrica </t>
  </si>
  <si>
    <t>Capacidad</t>
  </si>
  <si>
    <t>LONGITUD DE LAS LAMINAS (mm)</t>
  </si>
  <si>
    <t>mm</t>
  </si>
  <si>
    <t>LONGITUD DEL CONDENSADOR CILINDRICO EN FUNCION DE LA CAPACIDAD</t>
  </si>
  <si>
    <r>
      <t>2π*Tramo externo*1'052/</t>
    </r>
    <r>
      <rPr>
        <sz val="10"/>
        <rFont val="Symbol"/>
        <family val="1"/>
        <charset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</si>
</sst>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1" x14ac:knownFonts="1">
    <font>
      <sz val="10"/>
      <name val="Arial"/>
    </font>
    <font>
      <sz val="10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9"/>
      <name val="Arial"/>
      <family val="2"/>
    </font>
    <font>
      <b/>
      <sz val="10"/>
      <color theme="5" tint="-0.49998474074526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i/>
      <sz val="16"/>
      <color theme="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8.1"/>
      <color indexed="81"/>
      <name val="Tahoma"/>
      <family val="2"/>
    </font>
    <font>
      <sz val="10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81">
    <xf numFmtId="0" fontId="0" fillId="0" borderId="0" xfId="0"/>
    <xf numFmtId="2" fontId="0" fillId="0" borderId="0" xfId="0" applyNumberFormat="1"/>
    <xf numFmtId="2" fontId="7" fillId="3" borderId="3" xfId="0" applyNumberFormat="1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2" fontId="0" fillId="2" borderId="0" xfId="0" applyNumberFormat="1" applyFill="1" applyBorder="1"/>
    <xf numFmtId="2" fontId="0" fillId="2" borderId="9" xfId="0" applyNumberFormat="1" applyFill="1" applyBorder="1"/>
    <xf numFmtId="4" fontId="0" fillId="2" borderId="8" xfId="0" applyNumberFormat="1" applyFill="1" applyBorder="1" applyAlignment="1">
      <alignment horizontal="right"/>
    </xf>
    <xf numFmtId="2" fontId="0" fillId="2" borderId="10" xfId="0" applyNumberFormat="1" applyFill="1" applyBorder="1"/>
    <xf numFmtId="0" fontId="0" fillId="2" borderId="0" xfId="0" applyFill="1" applyBorder="1"/>
    <xf numFmtId="4" fontId="0" fillId="2" borderId="7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justify"/>
    </xf>
    <xf numFmtId="4" fontId="0" fillId="2" borderId="0" xfId="0" applyNumberFormat="1" applyFill="1" applyBorder="1"/>
    <xf numFmtId="4" fontId="5" fillId="2" borderId="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 vertical="center"/>
    </xf>
    <xf numFmtId="2" fontId="1" fillId="4" borderId="12" xfId="0" applyNumberFormat="1" applyFont="1" applyFill="1" applyBorder="1" applyAlignment="1">
      <alignment horizontal="left" vertical="center"/>
    </xf>
    <xf numFmtId="2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left"/>
    </xf>
    <xf numFmtId="0" fontId="0" fillId="5" borderId="15" xfId="0" applyFill="1" applyBorder="1"/>
    <xf numFmtId="0" fontId="0" fillId="5" borderId="0" xfId="0" applyFill="1" applyBorder="1" applyAlignment="1">
      <alignment horizontal="left"/>
    </xf>
    <xf numFmtId="0" fontId="0" fillId="5" borderId="16" xfId="0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2" fontId="0" fillId="5" borderId="0" xfId="0" applyNumberFormat="1" applyFill="1" applyBorder="1"/>
    <xf numFmtId="4" fontId="0" fillId="5" borderId="0" xfId="0" applyNumberFormat="1" applyFill="1" applyBorder="1"/>
    <xf numFmtId="0" fontId="0" fillId="5" borderId="17" xfId="0" applyFill="1" applyBorder="1"/>
    <xf numFmtId="0" fontId="0" fillId="5" borderId="18" xfId="0" applyFill="1" applyBorder="1"/>
    <xf numFmtId="2" fontId="0" fillId="5" borderId="18" xfId="0" applyNumberFormat="1" applyFill="1" applyBorder="1"/>
    <xf numFmtId="4" fontId="0" fillId="5" borderId="18" xfId="0" applyNumberFormat="1" applyFill="1" applyBorder="1"/>
    <xf numFmtId="2" fontId="9" fillId="5" borderId="18" xfId="0" applyNumberFormat="1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2" fontId="9" fillId="5" borderId="21" xfId="0" applyNumberFormat="1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2" fontId="0" fillId="5" borderId="21" xfId="0" applyNumberFormat="1" applyFill="1" applyBorder="1"/>
    <xf numFmtId="4" fontId="0" fillId="5" borderId="21" xfId="0" applyNumberFormat="1" applyFill="1" applyBorder="1"/>
    <xf numFmtId="4" fontId="5" fillId="2" borderId="14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2" fontId="7" fillId="3" borderId="7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5" xfId="0" applyFill="1" applyBorder="1"/>
    <xf numFmtId="2" fontId="0" fillId="2" borderId="23" xfId="0" applyNumberFormat="1" applyFill="1" applyBorder="1"/>
    <xf numFmtId="2" fontId="6" fillId="2" borderId="10" xfId="0" applyNumberFormat="1" applyFont="1" applyFill="1" applyBorder="1"/>
    <xf numFmtId="2" fontId="6" fillId="2" borderId="1" xfId="0" applyNumberFormat="1" applyFont="1" applyFill="1" applyBorder="1"/>
    <xf numFmtId="0" fontId="0" fillId="5" borderId="0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2" fontId="0" fillId="2" borderId="7" xfId="0" applyNumberFormat="1" applyFill="1" applyBorder="1"/>
    <xf numFmtId="0" fontId="0" fillId="2" borderId="23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2" fontId="0" fillId="2" borderId="24" xfId="0" applyNumberFormat="1" applyFill="1" applyBorder="1"/>
    <xf numFmtId="0" fontId="0" fillId="2" borderId="10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1" fillId="2" borderId="10" xfId="0" applyFont="1" applyFill="1" applyBorder="1"/>
    <xf numFmtId="2" fontId="0" fillId="2" borderId="3" xfId="0" applyNumberFormat="1" applyFill="1" applyBorder="1"/>
    <xf numFmtId="0" fontId="1" fillId="2" borderId="1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5" borderId="31" xfId="0" applyFill="1" applyBorder="1"/>
    <xf numFmtId="0" fontId="7" fillId="3" borderId="5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2" fontId="5" fillId="3" borderId="32" xfId="0" applyNumberFormat="1" applyFont="1" applyFill="1" applyBorder="1"/>
    <xf numFmtId="0" fontId="10" fillId="3" borderId="23" xfId="0" applyFont="1" applyFill="1" applyBorder="1"/>
    <xf numFmtId="2" fontId="5" fillId="3" borderId="11" xfId="0" applyNumberFormat="1" applyFont="1" applyFill="1" applyBorder="1"/>
    <xf numFmtId="0" fontId="10" fillId="3" borderId="1" xfId="0" applyFont="1" applyFill="1" applyBorder="1"/>
    <xf numFmtId="0" fontId="0" fillId="4" borderId="17" xfId="0" applyFill="1" applyBorder="1"/>
    <xf numFmtId="2" fontId="0" fillId="4" borderId="18" xfId="0" applyNumberForma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5" xfId="0" applyFill="1" applyBorder="1"/>
    <xf numFmtId="2" fontId="0" fillId="4" borderId="0" xfId="0" applyNumberFormat="1" applyFill="1" applyBorder="1"/>
    <xf numFmtId="0" fontId="0" fillId="4" borderId="0" xfId="0" applyFill="1" applyBorder="1"/>
    <xf numFmtId="0" fontId="0" fillId="4" borderId="16" xfId="0" applyFill="1" applyBorder="1"/>
    <xf numFmtId="2" fontId="0" fillId="4" borderId="0" xfId="0" applyNumberFormat="1" applyFill="1" applyBorder="1" applyAlignment="1">
      <alignment horizontal="left"/>
    </xf>
    <xf numFmtId="0" fontId="1" fillId="4" borderId="0" xfId="0" applyFont="1" applyFill="1" applyBorder="1"/>
    <xf numFmtId="0" fontId="1" fillId="4" borderId="16" xfId="0" applyFont="1" applyFill="1" applyBorder="1"/>
    <xf numFmtId="0" fontId="1" fillId="4" borderId="0" xfId="0" applyFont="1" applyFill="1" applyBorder="1" applyAlignment="1">
      <alignment horizontal="left"/>
    </xf>
    <xf numFmtId="0" fontId="0" fillId="4" borderId="20" xfId="0" applyFill="1" applyBorder="1"/>
    <xf numFmtId="2" fontId="0" fillId="4" borderId="21" xfId="0" applyNumberFormat="1" applyFill="1" applyBorder="1"/>
    <xf numFmtId="0" fontId="0" fillId="4" borderId="21" xfId="0" applyFill="1" applyBorder="1"/>
    <xf numFmtId="0" fontId="0" fillId="4" borderId="22" xfId="0" applyFill="1" applyBorder="1"/>
    <xf numFmtId="0" fontId="13" fillId="2" borderId="6" xfId="0" applyFont="1" applyFill="1" applyBorder="1" applyAlignment="1">
      <alignment horizontal="right"/>
    </xf>
    <xf numFmtId="0" fontId="0" fillId="5" borderId="33" xfId="0" applyFill="1" applyBorder="1"/>
    <xf numFmtId="0" fontId="0" fillId="5" borderId="34" xfId="0" applyFill="1" applyBorder="1" applyAlignment="1">
      <alignment horizontal="right"/>
    </xf>
    <xf numFmtId="0" fontId="0" fillId="5" borderId="34" xfId="0" applyFill="1" applyBorder="1"/>
    <xf numFmtId="2" fontId="0" fillId="5" borderId="34" xfId="0" applyNumberFormat="1" applyFill="1" applyBorder="1"/>
    <xf numFmtId="4" fontId="0" fillId="5" borderId="34" xfId="0" applyNumberFormat="1" applyFill="1" applyBorder="1"/>
    <xf numFmtId="2" fontId="9" fillId="5" borderId="34" xfId="0" applyNumberFormat="1" applyFont="1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 applyAlignment="1">
      <alignment horizontal="right"/>
    </xf>
    <xf numFmtId="0" fontId="0" fillId="5" borderId="39" xfId="0" applyFill="1" applyBorder="1"/>
    <xf numFmtId="2" fontId="0" fillId="5" borderId="39" xfId="0" applyNumberFormat="1" applyFill="1" applyBorder="1"/>
    <xf numFmtId="4" fontId="0" fillId="5" borderId="39" xfId="0" applyNumberFormat="1" applyFill="1" applyBorder="1"/>
    <xf numFmtId="2" fontId="9" fillId="5" borderId="39" xfId="0" applyNumberFormat="1" applyFont="1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/>
    <xf numFmtId="2" fontId="0" fillId="10" borderId="0" xfId="0" applyNumberFormat="1" applyFill="1" applyBorder="1"/>
    <xf numFmtId="2" fontId="3" fillId="11" borderId="12" xfId="0" applyNumberFormat="1" applyFont="1" applyFill="1" applyBorder="1" applyAlignment="1"/>
    <xf numFmtId="2" fontId="1" fillId="2" borderId="23" xfId="0" applyNumberFormat="1" applyFont="1" applyFill="1" applyBorder="1" applyAlignment="1">
      <alignment horizontal="center"/>
    </xf>
    <xf numFmtId="0" fontId="0" fillId="12" borderId="17" xfId="0" applyFill="1" applyBorder="1"/>
    <xf numFmtId="0" fontId="0" fillId="12" borderId="18" xfId="0" applyFill="1" applyBorder="1"/>
    <xf numFmtId="2" fontId="0" fillId="12" borderId="18" xfId="0" applyNumberFormat="1" applyFill="1" applyBorder="1"/>
    <xf numFmtId="4" fontId="0" fillId="12" borderId="18" xfId="0" applyNumberFormat="1" applyFill="1" applyBorder="1"/>
    <xf numFmtId="0" fontId="0" fillId="12" borderId="0" xfId="0" applyFill="1" applyBorder="1"/>
    <xf numFmtId="0" fontId="3" fillId="12" borderId="0" xfId="0" applyFont="1" applyFill="1" applyBorder="1" applyAlignment="1">
      <alignment horizontal="center" vertical="center"/>
    </xf>
    <xf numFmtId="0" fontId="0" fillId="12" borderId="21" xfId="0" applyFill="1" applyBorder="1"/>
    <xf numFmtId="0" fontId="0" fillId="12" borderId="15" xfId="0" applyFill="1" applyBorder="1"/>
    <xf numFmtId="2" fontId="3" fillId="12" borderId="0" xfId="0" applyNumberFormat="1" applyFont="1" applyFill="1" applyBorder="1" applyAlignment="1">
      <alignment horizontal="left" vertical="center"/>
    </xf>
    <xf numFmtId="0" fontId="0" fillId="12" borderId="20" xfId="0" applyFill="1" applyBorder="1"/>
    <xf numFmtId="2" fontId="4" fillId="12" borderId="0" xfId="0" applyNumberFormat="1" applyFont="1" applyFill="1" applyBorder="1" applyAlignment="1">
      <alignment horizontal="right"/>
    </xf>
    <xf numFmtId="2" fontId="0" fillId="12" borderId="0" xfId="0" applyNumberFormat="1" applyFill="1" applyBorder="1"/>
    <xf numFmtId="4" fontId="4" fillId="12" borderId="0" xfId="0" applyNumberFormat="1" applyFont="1" applyFill="1" applyBorder="1" applyAlignment="1">
      <alignment horizontal="left"/>
    </xf>
    <xf numFmtId="2" fontId="4" fillId="12" borderId="0" xfId="0" applyNumberFormat="1" applyFont="1" applyFill="1" applyBorder="1"/>
    <xf numFmtId="2" fontId="3" fillId="12" borderId="0" xfId="0" applyNumberFormat="1" applyFont="1" applyFill="1" applyBorder="1"/>
    <xf numFmtId="2" fontId="9" fillId="12" borderId="0" xfId="0" applyNumberFormat="1" applyFont="1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4" fontId="1" fillId="12" borderId="0" xfId="0" applyNumberFormat="1" applyFont="1" applyFill="1" applyBorder="1" applyAlignment="1">
      <alignment horizontal="center"/>
    </xf>
    <xf numFmtId="2" fontId="0" fillId="12" borderId="0" xfId="0" applyNumberFormat="1" applyFill="1" applyBorder="1" applyAlignment="1"/>
    <xf numFmtId="2" fontId="1" fillId="12" borderId="0" xfId="0" applyNumberFormat="1" applyFont="1" applyFill="1" applyBorder="1"/>
    <xf numFmtId="2" fontId="5" fillId="12" borderId="0" xfId="0" applyNumberFormat="1" applyFont="1" applyFill="1" applyBorder="1"/>
    <xf numFmtId="2" fontId="4" fillId="12" borderId="0" xfId="0" applyNumberFormat="1" applyFont="1" applyFill="1" applyBorder="1" applyAlignment="1">
      <alignment horizontal="left"/>
    </xf>
    <xf numFmtId="4" fontId="0" fillId="12" borderId="0" xfId="0" applyNumberFormat="1" applyFill="1" applyBorder="1"/>
    <xf numFmtId="2" fontId="15" fillId="12" borderId="0" xfId="0" applyNumberFormat="1" applyFont="1" applyFill="1" applyBorder="1" applyAlignment="1">
      <alignment horizontal="left"/>
    </xf>
    <xf numFmtId="4" fontId="4" fillId="12" borderId="0" xfId="0" applyNumberFormat="1" applyFont="1" applyFill="1" applyBorder="1" applyAlignment="1">
      <alignment horizontal="center"/>
    </xf>
    <xf numFmtId="2" fontId="4" fillId="12" borderId="0" xfId="0" applyNumberFormat="1" applyFont="1" applyFill="1" applyBorder="1" applyAlignment="1"/>
    <xf numFmtId="2" fontId="4" fillId="12" borderId="0" xfId="0" quotePrefix="1" applyNumberFormat="1" applyFont="1" applyFill="1" applyBorder="1" applyAlignment="1"/>
    <xf numFmtId="4" fontId="3" fillId="12" borderId="0" xfId="0" applyNumberFormat="1" applyFont="1" applyFill="1" applyBorder="1"/>
    <xf numFmtId="2" fontId="0" fillId="12" borderId="0" xfId="0" applyNumberFormat="1" applyFill="1" applyBorder="1" applyAlignment="1">
      <alignment horizontal="center"/>
    </xf>
    <xf numFmtId="2" fontId="9" fillId="12" borderId="21" xfId="0" applyNumberFormat="1" applyFont="1" applyFill="1" applyBorder="1" applyAlignment="1">
      <alignment horizontal="left"/>
    </xf>
    <xf numFmtId="0" fontId="0" fillId="12" borderId="21" xfId="0" applyFill="1" applyBorder="1" applyAlignment="1">
      <alignment horizontal="left"/>
    </xf>
    <xf numFmtId="2" fontId="0" fillId="12" borderId="21" xfId="0" applyNumberFormat="1" applyFill="1" applyBorder="1"/>
    <xf numFmtId="4" fontId="0" fillId="12" borderId="21" xfId="0" applyNumberFormat="1" applyFill="1" applyBorder="1"/>
    <xf numFmtId="2" fontId="0" fillId="12" borderId="21" xfId="0" applyNumberFormat="1" applyFill="1" applyBorder="1" applyAlignment="1">
      <alignment vertical="center"/>
    </xf>
    <xf numFmtId="4" fontId="0" fillId="12" borderId="0" xfId="0" applyNumberFormat="1" applyFill="1" applyBorder="1" applyAlignment="1">
      <alignment vertical="center"/>
    </xf>
    <xf numFmtId="2" fontId="9" fillId="12" borderId="18" xfId="0" applyNumberFormat="1" applyFont="1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4" fontId="16" fillId="12" borderId="0" xfId="0" applyNumberFormat="1" applyFont="1" applyFill="1" applyBorder="1" applyAlignment="1">
      <alignment horizontal="center"/>
    </xf>
    <xf numFmtId="3" fontId="5" fillId="12" borderId="48" xfId="0" applyNumberFormat="1" applyFont="1" applyFill="1" applyBorder="1" applyAlignment="1">
      <alignment horizontal="center"/>
    </xf>
    <xf numFmtId="164" fontId="0" fillId="5" borderId="34" xfId="0" applyNumberFormat="1" applyFill="1" applyBorder="1"/>
    <xf numFmtId="164" fontId="0" fillId="5" borderId="0" xfId="0" applyNumberFormat="1" applyFill="1" applyBorder="1"/>
    <xf numFmtId="164" fontId="0" fillId="5" borderId="18" xfId="0" applyNumberFormat="1" applyFill="1" applyBorder="1"/>
    <xf numFmtId="164" fontId="7" fillId="3" borderId="5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12" borderId="18" xfId="0" applyNumberFormat="1" applyFill="1" applyBorder="1"/>
    <xf numFmtId="164" fontId="0" fillId="12" borderId="0" xfId="0" applyNumberFormat="1" applyFill="1" applyBorder="1" applyAlignment="1">
      <alignment horizontal="center"/>
    </xf>
    <xf numFmtId="164" fontId="0" fillId="12" borderId="0" xfId="0" applyNumberFormat="1" applyFill="1" applyBorder="1"/>
    <xf numFmtId="164" fontId="0" fillId="12" borderId="21" xfId="0" applyNumberFormat="1" applyFill="1" applyBorder="1" applyAlignment="1">
      <alignment vertical="center"/>
    </xf>
    <xf numFmtId="164" fontId="1" fillId="2" borderId="6" xfId="0" applyNumberFormat="1" applyFon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12" borderId="0" xfId="0" applyNumberFormat="1" applyFont="1" applyFill="1" applyBorder="1" applyAlignment="1">
      <alignment horizontal="right"/>
    </xf>
    <xf numFmtId="164" fontId="5" fillId="12" borderId="0" xfId="0" applyNumberFormat="1" applyFont="1" applyFill="1" applyBorder="1"/>
    <xf numFmtId="164" fontId="3" fillId="12" borderId="0" xfId="0" applyNumberFormat="1" applyFont="1" applyFill="1" applyBorder="1" applyAlignment="1">
      <alignment horizontal="right"/>
    </xf>
    <xf numFmtId="164" fontId="4" fillId="12" borderId="0" xfId="0" applyNumberFormat="1" applyFont="1" applyFill="1" applyBorder="1" applyAlignment="1"/>
    <xf numFmtId="164" fontId="0" fillId="2" borderId="0" xfId="0" applyNumberFormat="1" applyFill="1" applyBorder="1"/>
    <xf numFmtId="164" fontId="0" fillId="12" borderId="21" xfId="0" applyNumberFormat="1" applyFill="1" applyBorder="1"/>
    <xf numFmtId="164" fontId="0" fillId="5" borderId="39" xfId="0" applyNumberFormat="1" applyFill="1" applyBorder="1"/>
    <xf numFmtId="164" fontId="4" fillId="2" borderId="5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/>
    <xf numFmtId="2" fontId="0" fillId="0" borderId="7" xfId="0" applyNumberFormat="1" applyFill="1" applyBorder="1" applyAlignment="1"/>
    <xf numFmtId="164" fontId="4" fillId="13" borderId="8" xfId="0" applyNumberFormat="1" applyFont="1" applyFill="1" applyBorder="1" applyAlignment="1">
      <alignment horizontal="right"/>
    </xf>
    <xf numFmtId="2" fontId="4" fillId="13" borderId="4" xfId="0" applyNumberFormat="1" applyFont="1" applyFill="1" applyBorder="1"/>
    <xf numFmtId="1" fontId="5" fillId="4" borderId="12" xfId="0" applyNumberFormat="1" applyFont="1" applyFill="1" applyBorder="1" applyAlignment="1">
      <alignment horizontal="center" vertical="justify" wrapText="1"/>
    </xf>
    <xf numFmtId="2" fontId="0" fillId="2" borderId="1" xfId="0" applyNumberFormat="1" applyFill="1" applyBorder="1"/>
    <xf numFmtId="0" fontId="4" fillId="12" borderId="0" xfId="0" applyFont="1" applyFill="1" applyBorder="1" applyAlignment="1">
      <alignment horizontal="left"/>
    </xf>
    <xf numFmtId="0" fontId="0" fillId="2" borderId="49" xfId="0" applyFill="1" applyBorder="1" applyAlignment="1">
      <alignment horizontal="right"/>
    </xf>
    <xf numFmtId="0" fontId="4" fillId="13" borderId="2" xfId="0" applyFont="1" applyFill="1" applyBorder="1" applyAlignment="1">
      <alignment horizontal="right"/>
    </xf>
    <xf numFmtId="164" fontId="4" fillId="5" borderId="21" xfId="0" applyNumberFormat="1" applyFont="1" applyFill="1" applyBorder="1"/>
    <xf numFmtId="0" fontId="3" fillId="12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12" borderId="17" xfId="0" applyFill="1" applyBorder="1" applyAlignment="1">
      <alignment horizontal="right"/>
    </xf>
    <xf numFmtId="0" fontId="8" fillId="12" borderId="15" xfId="0" applyFont="1" applyFill="1" applyBorder="1" applyAlignment="1">
      <alignment horizontal="right" vertical="center"/>
    </xf>
    <xf numFmtId="0" fontId="0" fillId="12" borderId="15" xfId="0" applyFill="1" applyBorder="1" applyAlignment="1">
      <alignment horizontal="right"/>
    </xf>
    <xf numFmtId="0" fontId="0" fillId="12" borderId="20" xfId="0" applyFill="1" applyBorder="1" applyAlignment="1">
      <alignment horizontal="right"/>
    </xf>
    <xf numFmtId="0" fontId="18" fillId="0" borderId="0" xfId="0" applyFont="1"/>
    <xf numFmtId="0" fontId="18" fillId="14" borderId="24" xfId="0" applyFont="1" applyFill="1" applyBorder="1"/>
    <xf numFmtId="0" fontId="21" fillId="14" borderId="24" xfId="0" applyFont="1" applyFill="1" applyBorder="1"/>
    <xf numFmtId="0" fontId="22" fillId="0" borderId="53" xfId="0" applyFont="1" applyBorder="1"/>
    <xf numFmtId="0" fontId="18" fillId="0" borderId="55" xfId="0" applyFont="1" applyBorder="1"/>
    <xf numFmtId="0" fontId="21" fillId="0" borderId="4" xfId="0" applyFont="1" applyBorder="1"/>
    <xf numFmtId="0" fontId="0" fillId="14" borderId="9" xfId="0" applyFill="1" applyBorder="1"/>
    <xf numFmtId="0" fontId="0" fillId="14" borderId="26" xfId="0" applyFill="1" applyBorder="1"/>
    <xf numFmtId="0" fontId="21" fillId="0" borderId="53" xfId="0" applyFont="1" applyBorder="1"/>
    <xf numFmtId="0" fontId="18" fillId="14" borderId="26" xfId="0" applyFont="1" applyFill="1" applyBorder="1"/>
    <xf numFmtId="0" fontId="18" fillId="14" borderId="52" xfId="0" applyFont="1" applyFill="1" applyBorder="1"/>
    <xf numFmtId="165" fontId="18" fillId="0" borderId="52" xfId="0" applyNumberFormat="1" applyFont="1" applyBorder="1"/>
    <xf numFmtId="165" fontId="18" fillId="0" borderId="54" xfId="0" applyNumberFormat="1" applyFont="1" applyBorder="1"/>
    <xf numFmtId="2" fontId="18" fillId="14" borderId="56" xfId="0" applyNumberFormat="1" applyFont="1" applyFill="1" applyBorder="1"/>
    <xf numFmtId="2" fontId="18" fillId="14" borderId="4" xfId="0" applyNumberFormat="1" applyFont="1" applyFill="1" applyBorder="1"/>
    <xf numFmtId="2" fontId="18" fillId="0" borderId="14" xfId="0" applyNumberFormat="1" applyFont="1" applyBorder="1"/>
    <xf numFmtId="2" fontId="18" fillId="14" borderId="9" xfId="0" applyNumberFormat="1" applyFont="1" applyFill="1" applyBorder="1"/>
    <xf numFmtId="2" fontId="0" fillId="14" borderId="26" xfId="0" applyNumberFormat="1" applyFill="1" applyBorder="1"/>
    <xf numFmtId="0" fontId="21" fillId="0" borderId="57" xfId="0" applyFont="1" applyBorder="1"/>
    <xf numFmtId="0" fontId="18" fillId="14" borderId="7" xfId="0" applyFont="1" applyFill="1" applyBorder="1"/>
    <xf numFmtId="2" fontId="18" fillId="14" borderId="58" xfId="0" applyNumberFormat="1" applyFont="1" applyFill="1" applyBorder="1"/>
    <xf numFmtId="0" fontId="18" fillId="14" borderId="19" xfId="0" applyFont="1" applyFill="1" applyBorder="1"/>
    <xf numFmtId="0" fontId="18" fillId="14" borderId="16" xfId="0" applyFont="1" applyFill="1" applyBorder="1"/>
    <xf numFmtId="0" fontId="18" fillId="14" borderId="59" xfId="0" applyFont="1" applyFill="1" applyBorder="1"/>
    <xf numFmtId="0" fontId="3" fillId="14" borderId="61" xfId="0" applyFont="1" applyFill="1" applyBorder="1"/>
    <xf numFmtId="2" fontId="24" fillId="0" borderId="61" xfId="0" applyNumberFormat="1" applyFont="1" applyBorder="1"/>
    <xf numFmtId="0" fontId="18" fillId="0" borderId="60" xfId="0" applyFont="1" applyBorder="1" applyAlignment="1">
      <alignment horizontal="center"/>
    </xf>
    <xf numFmtId="0" fontId="18" fillId="14" borderId="2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21" fillId="0" borderId="9" xfId="0" applyFont="1" applyFill="1" applyBorder="1"/>
    <xf numFmtId="164" fontId="18" fillId="0" borderId="24" xfId="0" applyNumberFormat="1" applyFont="1" applyBorder="1"/>
    <xf numFmtId="164" fontId="18" fillId="0" borderId="50" xfId="0" applyNumberFormat="1" applyFont="1" applyBorder="1"/>
    <xf numFmtId="11" fontId="0" fillId="0" borderId="0" xfId="0" applyNumberFormat="1"/>
    <xf numFmtId="2" fontId="4" fillId="2" borderId="7" xfId="0" applyNumberFormat="1" applyFont="1" applyFill="1" applyBorder="1" applyAlignment="1">
      <alignment horizontal="center"/>
    </xf>
    <xf numFmtId="2" fontId="3" fillId="11" borderId="17" xfId="0" applyNumberFormat="1" applyFont="1" applyFill="1" applyBorder="1" applyAlignment="1">
      <alignment horizontal="right"/>
    </xf>
    <xf numFmtId="2" fontId="3" fillId="11" borderId="18" xfId="0" applyNumberFormat="1" applyFont="1" applyFill="1" applyBorder="1" applyAlignment="1">
      <alignment horizontal="right"/>
    </xf>
    <xf numFmtId="2" fontId="3" fillId="11" borderId="18" xfId="0" applyNumberFormat="1" applyFont="1" applyFill="1" applyBorder="1" applyAlignment="1"/>
    <xf numFmtId="2" fontId="3" fillId="11" borderId="18" xfId="0" applyNumberFormat="1" applyFont="1" applyFill="1" applyBorder="1" applyAlignment="1">
      <alignment horizontal="left"/>
    </xf>
    <xf numFmtId="0" fontId="21" fillId="14" borderId="4" xfId="0" applyFont="1" applyFill="1" applyBorder="1"/>
    <xf numFmtId="2" fontId="18" fillId="0" borderId="4" xfId="0" applyNumberFormat="1" applyFont="1" applyBorder="1"/>
    <xf numFmtId="0" fontId="18" fillId="0" borderId="59" xfId="0" applyFont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24" xfId="0" applyBorder="1"/>
    <xf numFmtId="0" fontId="4" fillId="0" borderId="24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20" fillId="0" borderId="49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0" fillId="14" borderId="24" xfId="0" applyFill="1" applyBorder="1"/>
    <xf numFmtId="0" fontId="0" fillId="14" borderId="3" xfId="0" applyFill="1" applyBorder="1"/>
    <xf numFmtId="0" fontId="0" fillId="14" borderId="7" xfId="0" applyFill="1" applyBorder="1"/>
    <xf numFmtId="0" fontId="4" fillId="0" borderId="7" xfId="0" applyFont="1" applyBorder="1"/>
    <xf numFmtId="0" fontId="22" fillId="0" borderId="7" xfId="0" applyFont="1" applyBorder="1"/>
    <xf numFmtId="0" fontId="0" fillId="0" borderId="24" xfId="0" applyFill="1" applyBorder="1"/>
    <xf numFmtId="0" fontId="22" fillId="0" borderId="24" xfId="0" applyFont="1" applyBorder="1"/>
    <xf numFmtId="0" fontId="0" fillId="14" borderId="0" xfId="0" applyFill="1"/>
    <xf numFmtId="2" fontId="0" fillId="14" borderId="58" xfId="0" applyNumberFormat="1" applyFill="1" applyBorder="1"/>
    <xf numFmtId="2" fontId="0" fillId="14" borderId="56" xfId="0" applyNumberFormat="1" applyFill="1" applyBorder="1"/>
    <xf numFmtId="0" fontId="0" fillId="14" borderId="16" xfId="0" applyFill="1" applyBorder="1"/>
    <xf numFmtId="2" fontId="0" fillId="14" borderId="42" xfId="0" applyNumberFormat="1" applyFill="1" applyBorder="1"/>
    <xf numFmtId="0" fontId="0" fillId="14" borderId="22" xfId="0" applyFill="1" applyBorder="1"/>
    <xf numFmtId="0" fontId="24" fillId="0" borderId="2" xfId="0" applyFont="1" applyFill="1" applyBorder="1" applyAlignment="1">
      <alignment horizontal="right"/>
    </xf>
    <xf numFmtId="0" fontId="24" fillId="0" borderId="3" xfId="0" applyFont="1" applyBorder="1"/>
    <xf numFmtId="1" fontId="24" fillId="0" borderId="3" xfId="0" applyNumberFormat="1" applyFont="1" applyBorder="1" applyAlignment="1">
      <alignment horizontal="center"/>
    </xf>
    <xf numFmtId="0" fontId="22" fillId="0" borderId="0" xfId="0" applyFont="1" applyFill="1" applyBorder="1"/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63" xfId="0" applyFill="1" applyBorder="1"/>
    <xf numFmtId="2" fontId="5" fillId="4" borderId="12" xfId="0" applyNumberFormat="1" applyFont="1" applyFill="1" applyBorder="1" applyAlignment="1">
      <alignment horizontal="left" vertical="center"/>
    </xf>
    <xf numFmtId="2" fontId="0" fillId="12" borderId="0" xfId="0" applyNumberFormat="1" applyFill="1" applyBorder="1" applyAlignment="1">
      <alignment horizontal="right"/>
    </xf>
    <xf numFmtId="0" fontId="3" fillId="12" borderId="0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right" vertical="justify"/>
    </xf>
    <xf numFmtId="2" fontId="0" fillId="4" borderId="12" xfId="0" applyNumberFormat="1" applyFill="1" applyBorder="1" applyAlignment="1">
      <alignment horizontal="right" vertical="justify"/>
    </xf>
    <xf numFmtId="2" fontId="0" fillId="6" borderId="46" xfId="0" applyNumberFormat="1" applyFill="1" applyBorder="1" applyAlignment="1">
      <alignment horizontal="center"/>
    </xf>
    <xf numFmtId="2" fontId="0" fillId="6" borderId="47" xfId="0" applyNumberFormat="1" applyFill="1" applyBorder="1" applyAlignment="1">
      <alignment horizontal="center"/>
    </xf>
    <xf numFmtId="2" fontId="0" fillId="6" borderId="41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2" fontId="11" fillId="8" borderId="17" xfId="0" applyNumberFormat="1" applyFont="1" applyFill="1" applyBorder="1" applyAlignment="1">
      <alignment horizontal="right" vertical="center"/>
    </xf>
    <xf numFmtId="2" fontId="11" fillId="8" borderId="15" xfId="0" applyNumberFormat="1" applyFont="1" applyFill="1" applyBorder="1" applyAlignment="1">
      <alignment horizontal="right" vertical="center"/>
    </xf>
    <xf numFmtId="2" fontId="11" fillId="8" borderId="20" xfId="0" applyNumberFormat="1" applyFont="1" applyFill="1" applyBorder="1" applyAlignment="1">
      <alignment horizontal="right" vertical="center"/>
    </xf>
    <xf numFmtId="2" fontId="0" fillId="6" borderId="41" xfId="0" applyNumberFormat="1" applyFill="1" applyBorder="1" applyAlignment="1">
      <alignment horizontal="center" vertical="justify"/>
    </xf>
    <xf numFmtId="2" fontId="0" fillId="6" borderId="12" xfId="0" applyNumberFormat="1" applyFill="1" applyBorder="1" applyAlignment="1">
      <alignment horizontal="center" vertical="justify"/>
    </xf>
    <xf numFmtId="2" fontId="0" fillId="6" borderId="13" xfId="0" applyNumberFormat="1" applyFill="1" applyBorder="1" applyAlignment="1">
      <alignment horizontal="center" vertical="justify"/>
    </xf>
    <xf numFmtId="2" fontId="0" fillId="0" borderId="3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2" fontId="3" fillId="11" borderId="41" xfId="0" applyNumberFormat="1" applyFont="1" applyFill="1" applyBorder="1" applyAlignment="1">
      <alignment horizontal="right"/>
    </xf>
    <xf numFmtId="2" fontId="3" fillId="11" borderId="12" xfId="0" applyNumberFormat="1" applyFont="1" applyFill="1" applyBorder="1" applyAlignment="1">
      <alignment horizontal="right"/>
    </xf>
    <xf numFmtId="2" fontId="3" fillId="11" borderId="12" xfId="0" applyNumberFormat="1" applyFont="1" applyFill="1" applyBorder="1" applyAlignment="1">
      <alignment horizontal="left"/>
    </xf>
    <xf numFmtId="2" fontId="6" fillId="2" borderId="7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2" fontId="4" fillId="2" borderId="43" xfId="0" applyNumberFormat="1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4" fillId="2" borderId="41" xfId="0" applyNumberFormat="1" applyFont="1" applyFill="1" applyBorder="1" applyAlignment="1">
      <alignment horizontal="center" vertical="justify"/>
    </xf>
    <xf numFmtId="2" fontId="4" fillId="2" borderId="12" xfId="0" applyNumberFormat="1" applyFont="1" applyFill="1" applyBorder="1" applyAlignment="1">
      <alignment horizontal="center" vertical="justify"/>
    </xf>
    <xf numFmtId="2" fontId="4" fillId="2" borderId="13" xfId="0" applyNumberFormat="1" applyFont="1" applyFill="1" applyBorder="1" applyAlignment="1">
      <alignment horizontal="center" vertical="justify"/>
    </xf>
    <xf numFmtId="4" fontId="4" fillId="12" borderId="0" xfId="0" applyNumberFormat="1" applyFont="1" applyFill="1" applyBorder="1" applyAlignment="1">
      <alignment horizontal="center" vertical="center" wrapText="1"/>
    </xf>
    <xf numFmtId="2" fontId="0" fillId="12" borderId="0" xfId="0" applyNumberFormat="1" applyFill="1" applyBorder="1" applyAlignment="1">
      <alignment horizontal="left"/>
    </xf>
    <xf numFmtId="2" fontId="3" fillId="12" borderId="0" xfId="0" applyNumberFormat="1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44" xfId="0" applyNumberFormat="1" applyFill="1" applyBorder="1" applyAlignment="1">
      <alignment horizontal="center"/>
    </xf>
    <xf numFmtId="3" fontId="0" fillId="2" borderId="45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2" fontId="11" fillId="8" borderId="18" xfId="0" applyNumberFormat="1" applyFont="1" applyFill="1" applyBorder="1" applyAlignment="1">
      <alignment horizontal="left" vertical="center"/>
    </xf>
    <xf numFmtId="2" fontId="11" fillId="8" borderId="0" xfId="0" applyNumberFormat="1" applyFont="1" applyFill="1" applyBorder="1" applyAlignment="1">
      <alignment horizontal="left" vertical="center"/>
    </xf>
    <xf numFmtId="2" fontId="11" fillId="8" borderId="21" xfId="0" applyNumberFormat="1" applyFont="1" applyFill="1" applyBorder="1" applyAlignment="1">
      <alignment horizontal="left" vertical="center"/>
    </xf>
    <xf numFmtId="2" fontId="11" fillId="8" borderId="19" xfId="0" applyNumberFormat="1" applyFont="1" applyFill="1" applyBorder="1" applyAlignment="1">
      <alignment horizontal="left" vertical="center"/>
    </xf>
    <xf numFmtId="2" fontId="11" fillId="8" borderId="16" xfId="0" applyNumberFormat="1" applyFont="1" applyFill="1" applyBorder="1" applyAlignment="1">
      <alignment horizontal="left" vertical="center"/>
    </xf>
    <xf numFmtId="2" fontId="11" fillId="8" borderId="22" xfId="0" applyNumberFormat="1" applyFont="1" applyFill="1" applyBorder="1" applyAlignment="1">
      <alignment horizontal="left" vertical="center"/>
    </xf>
    <xf numFmtId="0" fontId="5" fillId="6" borderId="4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335280</xdr:colOff>
      <xdr:row>32</xdr:row>
      <xdr:rowOff>83820</xdr:rowOff>
    </xdr:from>
    <xdr:to>
      <xdr:col>11</xdr:col>
      <xdr:colOff>0</xdr:colOff>
      <xdr:row>32</xdr:row>
      <xdr:rowOff>99060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ShapeType="1"/>
        </xdr:cNvSpPr>
      </xdr:nvSpPr>
      <xdr:spPr bwMode="auto">
        <a:xfrm flipH="1" flipV="1">
          <a:off x="3802380" y="6400800"/>
          <a:ext cx="1455420" cy="1524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</xdr:colOff>
      <xdr:row>32</xdr:row>
      <xdr:rowOff>83820</xdr:rowOff>
    </xdr:from>
    <xdr:to>
      <xdr:col>14</xdr:col>
      <xdr:colOff>228600</xdr:colOff>
      <xdr:row>32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ShapeType="1"/>
        </xdr:cNvSpPr>
      </xdr:nvSpPr>
      <xdr:spPr bwMode="auto">
        <a:xfrm>
          <a:off x="6156960" y="6400800"/>
          <a:ext cx="16992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251460</xdr:colOff>
      <xdr:row>32</xdr:row>
      <xdr:rowOff>45720</xdr:rowOff>
    </xdr:from>
    <xdr:to>
      <xdr:col>9</xdr:col>
      <xdr:colOff>335280</xdr:colOff>
      <xdr:row>32</xdr:row>
      <xdr:rowOff>129540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/>
        </xdr:cNvSpPr>
      </xdr:nvSpPr>
      <xdr:spPr bwMode="auto">
        <a:xfrm>
          <a:off x="3718560" y="6362700"/>
          <a:ext cx="83820" cy="8382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335280</xdr:colOff>
      <xdr:row>32</xdr:row>
      <xdr:rowOff>114300</xdr:rowOff>
    </xdr:from>
    <xdr:to>
      <xdr:col>9</xdr:col>
      <xdr:colOff>335280</xdr:colOff>
      <xdr:row>37</xdr:row>
      <xdr:rowOff>68580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802380" y="643128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83820</xdr:rowOff>
    </xdr:from>
    <xdr:to>
      <xdr:col>10</xdr:col>
      <xdr:colOff>0</xdr:colOff>
      <xdr:row>33</xdr:row>
      <xdr:rowOff>83820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4396740" y="6576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335280</xdr:colOff>
      <xdr:row>33</xdr:row>
      <xdr:rowOff>99060</xdr:rowOff>
    </xdr:from>
    <xdr:to>
      <xdr:col>9</xdr:col>
      <xdr:colOff>541020</xdr:colOff>
      <xdr:row>33</xdr:row>
      <xdr:rowOff>99060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 flipH="1">
          <a:off x="3802380" y="65913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32</xdr:row>
      <xdr:rowOff>144780</xdr:rowOff>
    </xdr:from>
    <xdr:to>
      <xdr:col>11</xdr:col>
      <xdr:colOff>0</xdr:colOff>
      <xdr:row>37</xdr:row>
      <xdr:rowOff>45720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5257800" y="6461760"/>
          <a:ext cx="0" cy="746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365760</xdr:colOff>
      <xdr:row>33</xdr:row>
      <xdr:rowOff>91440</xdr:rowOff>
    </xdr:from>
    <xdr:to>
      <xdr:col>11</xdr:col>
      <xdr:colOff>0</xdr:colOff>
      <xdr:row>33</xdr:row>
      <xdr:rowOff>91440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4762500" y="658368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7620</xdr:colOff>
      <xdr:row>32</xdr:row>
      <xdr:rowOff>167640</xdr:rowOff>
    </xdr:from>
    <xdr:to>
      <xdr:col>12</xdr:col>
      <xdr:colOff>7620</xdr:colOff>
      <xdr:row>35</xdr:row>
      <xdr:rowOff>144780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6156960" y="648462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236220</xdr:colOff>
      <xdr:row>32</xdr:row>
      <xdr:rowOff>22860</xdr:rowOff>
    </xdr:from>
    <xdr:to>
      <xdr:col>14</xdr:col>
      <xdr:colOff>236220</xdr:colOff>
      <xdr:row>37</xdr:row>
      <xdr:rowOff>60960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 flipV="1">
          <a:off x="7863840" y="6339840"/>
          <a:ext cx="0" cy="883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</xdr:colOff>
      <xdr:row>33</xdr:row>
      <xdr:rowOff>106680</xdr:rowOff>
    </xdr:from>
    <xdr:to>
      <xdr:col>12</xdr:col>
      <xdr:colOff>594360</xdr:colOff>
      <xdr:row>33</xdr:row>
      <xdr:rowOff>106680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 flipH="1">
          <a:off x="6156960" y="659892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251460</xdr:colOff>
      <xdr:row>33</xdr:row>
      <xdr:rowOff>91440</xdr:rowOff>
    </xdr:from>
    <xdr:to>
      <xdr:col>14</xdr:col>
      <xdr:colOff>251460</xdr:colOff>
      <xdr:row>33</xdr:row>
      <xdr:rowOff>91440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ShapeType="1"/>
        </xdr:cNvSpPr>
      </xdr:nvSpPr>
      <xdr:spPr bwMode="auto">
        <a:xfrm>
          <a:off x="7520940" y="6583680"/>
          <a:ext cx="358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37</xdr:row>
      <xdr:rowOff>160020</xdr:rowOff>
    </xdr:from>
    <xdr:to>
      <xdr:col>17</xdr:col>
      <xdr:colOff>22860</xdr:colOff>
      <xdr:row>42</xdr:row>
      <xdr:rowOff>76200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467100" y="7322820"/>
          <a:ext cx="5539740" cy="754380"/>
        </a:xfrm>
        <a:prstGeom prst="rect">
          <a:avLst/>
        </a:prstGeom>
        <a:solidFill>
          <a:srgbClr val="CC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X de entrada exterior será capacitiva (el tramo es menor de 1/4 de onda) y debe ser igual a la suma de los valores absolutos  de las reactancias del tope del tramo interior (capacitiva) y la reactancia (inductiva) que presenta la carga combinada de la trampa.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[X de entrada exterior=X tope interior + X carga]</a:t>
          </a:r>
        </a:p>
      </xdr:txBody>
    </xdr:sp>
    <xdr:clientData/>
  </xdr:twoCellAnchor>
  <xdr:twoCellAnchor>
    <xdr:from>
      <xdr:col>10</xdr:col>
      <xdr:colOff>815340</xdr:colOff>
      <xdr:row>30</xdr:row>
      <xdr:rowOff>114300</xdr:rowOff>
    </xdr:from>
    <xdr:to>
      <xdr:col>11</xdr:col>
      <xdr:colOff>60960</xdr:colOff>
      <xdr:row>31</xdr:row>
      <xdr:rowOff>160020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 bwMode="auto">
        <a:xfrm flipH="1">
          <a:off x="5212080" y="6080760"/>
          <a:ext cx="10668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335280</xdr:colOff>
      <xdr:row>34</xdr:row>
      <xdr:rowOff>99060</xdr:rowOff>
    </xdr:from>
    <xdr:to>
      <xdr:col>9</xdr:col>
      <xdr:colOff>723900</xdr:colOff>
      <xdr:row>34</xdr:row>
      <xdr:rowOff>99060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 flipH="1">
          <a:off x="3802380" y="6758940"/>
          <a:ext cx="388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22860</xdr:colOff>
      <xdr:row>35</xdr:row>
      <xdr:rowOff>99060</xdr:rowOff>
    </xdr:from>
    <xdr:to>
      <xdr:col>12</xdr:col>
      <xdr:colOff>746760</xdr:colOff>
      <xdr:row>35</xdr:row>
      <xdr:rowOff>99060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 flipH="1" flipV="1">
          <a:off x="6172200" y="692658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76200</xdr:colOff>
      <xdr:row>35</xdr:row>
      <xdr:rowOff>83820</xdr:rowOff>
    </xdr:from>
    <xdr:to>
      <xdr:col>14</xdr:col>
      <xdr:colOff>236220</xdr:colOff>
      <xdr:row>35</xdr:row>
      <xdr:rowOff>83820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7345680" y="69113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822960</xdr:colOff>
      <xdr:row>34</xdr:row>
      <xdr:rowOff>99060</xdr:rowOff>
    </xdr:from>
    <xdr:to>
      <xdr:col>11</xdr:col>
      <xdr:colOff>297180</xdr:colOff>
      <xdr:row>34</xdr:row>
      <xdr:rowOff>99060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 flipH="1">
          <a:off x="5219700" y="6758940"/>
          <a:ext cx="335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647700</xdr:colOff>
      <xdr:row>34</xdr:row>
      <xdr:rowOff>99060</xdr:rowOff>
    </xdr:from>
    <xdr:to>
      <xdr:col>12</xdr:col>
      <xdr:colOff>22860</xdr:colOff>
      <xdr:row>34</xdr:row>
      <xdr:rowOff>99060</xdr:rowOff>
    </xdr:to>
    <xdr:sp macro="" textlink="">
      <xdr:nvSpPr>
        <xdr:cNvPr id="20" name="Line 1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ShapeType="1"/>
        </xdr:cNvSpPr>
      </xdr:nvSpPr>
      <xdr:spPr bwMode="auto">
        <a:xfrm>
          <a:off x="5905500" y="675894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175260</xdr:colOff>
      <xdr:row>34</xdr:row>
      <xdr:rowOff>91440</xdr:rowOff>
    </xdr:from>
    <xdr:to>
      <xdr:col>11</xdr:col>
      <xdr:colOff>0</xdr:colOff>
      <xdr:row>34</xdr:row>
      <xdr:rowOff>91440</xdr:rowOff>
    </xdr:to>
    <xdr:sp macro="" textlink="">
      <xdr:nvSpPr>
        <xdr:cNvPr id="21" name="Line 1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ShapeType="1"/>
        </xdr:cNvSpPr>
      </xdr:nvSpPr>
      <xdr:spPr bwMode="auto">
        <a:xfrm>
          <a:off x="4572000" y="675132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594360</xdr:colOff>
      <xdr:row>34</xdr:row>
      <xdr:rowOff>99060</xdr:rowOff>
    </xdr:from>
    <xdr:to>
      <xdr:col>12</xdr:col>
      <xdr:colOff>15240</xdr:colOff>
      <xdr:row>34</xdr:row>
      <xdr:rowOff>99060</xdr:rowOff>
    </xdr:to>
    <xdr:sp macro="" textlink="">
      <xdr:nvSpPr>
        <xdr:cNvPr id="22" name="Line 1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ShapeType="1"/>
        </xdr:cNvSpPr>
      </xdr:nvSpPr>
      <xdr:spPr bwMode="auto">
        <a:xfrm>
          <a:off x="5852160" y="675894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10</xdr:row>
      <xdr:rowOff>45720</xdr:rowOff>
    </xdr:from>
    <xdr:to>
      <xdr:col>7</xdr:col>
      <xdr:colOff>144780</xdr:colOff>
      <xdr:row>10</xdr:row>
      <xdr:rowOff>60960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ShapeType="1"/>
        </xdr:cNvSpPr>
      </xdr:nvSpPr>
      <xdr:spPr bwMode="auto">
        <a:xfrm>
          <a:off x="3253740" y="1699260"/>
          <a:ext cx="1516380" cy="152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106680</xdr:colOff>
      <xdr:row>9</xdr:row>
      <xdr:rowOff>144780</xdr:rowOff>
    </xdr:from>
    <xdr:to>
      <xdr:col>8</xdr:col>
      <xdr:colOff>297180</xdr:colOff>
      <xdr:row>11</xdr:row>
      <xdr:rowOff>0</xdr:rowOff>
    </xdr:to>
    <xdr:pic>
      <xdr:nvPicPr>
        <xdr:cNvPr id="2267" name="Picture 2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2020" y="1630680"/>
          <a:ext cx="6019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114300</xdr:colOff>
      <xdr:row>9</xdr:row>
      <xdr:rowOff>129540</xdr:rowOff>
    </xdr:from>
    <xdr:to>
      <xdr:col>8</xdr:col>
      <xdr:colOff>297180</xdr:colOff>
      <xdr:row>10</xdr:row>
      <xdr:rowOff>160020</xdr:rowOff>
    </xdr:to>
    <xdr:sp macro="" textlink="">
      <xdr:nvSpPr>
        <xdr:cNvPr id="2268" name="Rectangle 3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rrowheads="1"/>
        </xdr:cNvSpPr>
      </xdr:nvSpPr>
      <xdr:spPr bwMode="auto">
        <a:xfrm>
          <a:off x="4739640" y="1615440"/>
          <a:ext cx="594360" cy="198120"/>
        </a:xfrm>
        <a:prstGeom prst="rect">
          <a:avLst/>
        </a:prstGeom>
        <a:solidFill>
          <a:srgbClr val="C0C0C0">
            <a:alpha val="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320040</xdr:colOff>
      <xdr:row>10</xdr:row>
      <xdr:rowOff>53340</xdr:rowOff>
    </xdr:from>
    <xdr:to>
      <xdr:col>10</xdr:col>
      <xdr:colOff>7620</xdr:colOff>
      <xdr:row>10</xdr:row>
      <xdr:rowOff>53340</xdr:rowOff>
    </xdr:to>
    <xdr:sp macro="" textlink="">
      <xdr:nvSpPr>
        <xdr:cNvPr id="2269" name="Line 4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ShapeType="1"/>
        </xdr:cNvSpPr>
      </xdr:nvSpPr>
      <xdr:spPr bwMode="auto">
        <a:xfrm>
          <a:off x="5356860" y="1706880"/>
          <a:ext cx="1333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53340</xdr:colOff>
      <xdr:row>10</xdr:row>
      <xdr:rowOff>7620</xdr:rowOff>
    </xdr:from>
    <xdr:to>
      <xdr:col>5</xdr:col>
      <xdr:colOff>137160</xdr:colOff>
      <xdr:row>10</xdr:row>
      <xdr:rowOff>91440</xdr:rowOff>
    </xdr:to>
    <xdr:sp macro="" textlink="">
      <xdr:nvSpPr>
        <xdr:cNvPr id="2270" name="Oval 5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rrowheads="1"/>
        </xdr:cNvSpPr>
      </xdr:nvSpPr>
      <xdr:spPr bwMode="auto">
        <a:xfrm>
          <a:off x="3147060" y="1661160"/>
          <a:ext cx="83820" cy="838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708660</xdr:colOff>
      <xdr:row>11</xdr:row>
      <xdr:rowOff>0</xdr:rowOff>
    </xdr:from>
    <xdr:to>
      <xdr:col>7</xdr:col>
      <xdr:colOff>60960</xdr:colOff>
      <xdr:row>12</xdr:row>
      <xdr:rowOff>30480</xdr:rowOff>
    </xdr:to>
    <xdr:sp macro="" textlink="">
      <xdr:nvSpPr>
        <xdr:cNvPr id="2271" name="Line 6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ShapeType="1"/>
        </xdr:cNvSpPr>
      </xdr:nvSpPr>
      <xdr:spPr bwMode="auto">
        <a:xfrm flipV="1">
          <a:off x="4351020" y="1821180"/>
          <a:ext cx="335280" cy="1981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320040</xdr:colOff>
      <xdr:row>11</xdr:row>
      <xdr:rowOff>7620</xdr:rowOff>
    </xdr:from>
    <xdr:to>
      <xdr:col>8</xdr:col>
      <xdr:colOff>388620</xdr:colOff>
      <xdr:row>12</xdr:row>
      <xdr:rowOff>0</xdr:rowOff>
    </xdr:to>
    <xdr:sp macro="" textlink="">
      <xdr:nvSpPr>
        <xdr:cNvPr id="2272" name="Line 7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ShapeType="1"/>
        </xdr:cNvSpPr>
      </xdr:nvSpPr>
      <xdr:spPr bwMode="auto">
        <a:xfrm flipH="1" flipV="1">
          <a:off x="5356860" y="1828800"/>
          <a:ext cx="68580" cy="1600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tabSelected="1" topLeftCell="E4" zoomScaleNormal="100" workbookViewId="0">
      <selection activeCell="J20" sqref="J20"/>
    </sheetView>
  </sheetViews>
  <sheetFormatPr baseColWidth="10" defaultRowHeight="13.2" x14ac:dyDescent="0.25"/>
  <cols>
    <col min="1" max="1" width="2.5546875" customWidth="1"/>
    <col min="2" max="2" width="7.77734375" hidden="1" customWidth="1"/>
    <col min="3" max="3" width="0.88671875" hidden="1" customWidth="1"/>
    <col min="4" max="4" width="11.5546875" hidden="1" customWidth="1"/>
    <col min="5" max="5" width="31.5546875" customWidth="1"/>
    <col min="6" max="6" width="6.77734375" customWidth="1"/>
    <col min="8" max="8" width="1.6640625" customWidth="1"/>
    <col min="9" max="9" width="0.88671875" customWidth="1"/>
    <col min="10" max="10" width="14.109375" customWidth="1"/>
    <col min="12" max="12" width="13.6640625" customWidth="1"/>
    <col min="13" max="13" width="12.6640625" customWidth="1"/>
    <col min="14" max="14" width="5.88671875" customWidth="1"/>
    <col min="16" max="16" width="7.33203125" customWidth="1"/>
    <col min="17" max="17" width="7.6640625" customWidth="1"/>
    <col min="18" max="18" width="8.5546875" customWidth="1"/>
    <col min="19" max="19" width="3.5546875" hidden="1" customWidth="1"/>
    <col min="20" max="20" width="2.88671875" customWidth="1"/>
    <col min="21" max="21" width="3.77734375" customWidth="1"/>
    <col min="22" max="22" width="45.109375" customWidth="1"/>
    <col min="23" max="23" width="10.21875" customWidth="1"/>
    <col min="24" max="24" width="13.6640625" customWidth="1"/>
    <col min="25" max="25" width="5.77734375" customWidth="1"/>
    <col min="26" max="26" width="7.6640625" style="1" customWidth="1"/>
    <col min="27" max="27" width="5.77734375" customWidth="1"/>
  </cols>
  <sheetData>
    <row r="1" spans="1:27" ht="14.4" thickTop="1" thickBot="1" x14ac:dyDescent="0.3">
      <c r="A1" s="97"/>
      <c r="B1" s="99"/>
      <c r="C1" s="98"/>
      <c r="D1" s="99"/>
      <c r="E1" s="99"/>
      <c r="F1" s="99"/>
      <c r="G1" s="99"/>
      <c r="H1" s="157"/>
      <c r="I1" s="100"/>
      <c r="J1" s="101"/>
      <c r="K1" s="100"/>
      <c r="L1" s="100"/>
      <c r="M1" s="100"/>
      <c r="N1" s="100"/>
      <c r="O1" s="100"/>
      <c r="P1" s="102"/>
      <c r="Q1" s="103"/>
      <c r="R1" s="103"/>
      <c r="S1" s="100"/>
      <c r="T1" s="104"/>
    </row>
    <row r="2" spans="1:27" ht="14.4" thickTop="1" thickBot="1" x14ac:dyDescent="0.3">
      <c r="A2" s="105"/>
      <c r="B2" s="27"/>
      <c r="C2" s="97"/>
      <c r="D2" s="99"/>
      <c r="E2" s="98"/>
      <c r="F2" s="99"/>
      <c r="G2" s="99"/>
      <c r="H2" s="99"/>
      <c r="I2" s="99"/>
      <c r="J2" s="157"/>
      <c r="K2" s="100"/>
      <c r="L2" s="101"/>
      <c r="M2" s="100"/>
      <c r="N2" s="100"/>
      <c r="O2" s="100"/>
      <c r="P2" s="100"/>
      <c r="Q2" s="100"/>
      <c r="R2" s="102"/>
      <c r="S2" s="103"/>
      <c r="T2" s="104"/>
    </row>
    <row r="3" spans="1:27" ht="17.399999999999999" customHeight="1" thickBot="1" x14ac:dyDescent="0.3">
      <c r="A3" s="105"/>
      <c r="B3" s="27"/>
      <c r="C3" s="105"/>
      <c r="D3" s="27"/>
      <c r="E3" s="285" t="s">
        <v>92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106"/>
      <c r="V3" s="287" t="s">
        <v>104</v>
      </c>
      <c r="W3" s="288"/>
      <c r="X3" s="289"/>
      <c r="Y3" s="289"/>
      <c r="Z3" s="289"/>
      <c r="AA3" s="290"/>
    </row>
    <row r="4" spans="1:27" ht="13.8" x14ac:dyDescent="0.25">
      <c r="A4" s="105"/>
      <c r="B4" s="27"/>
      <c r="C4" s="105"/>
      <c r="D4" s="27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106"/>
      <c r="V4" s="255" t="s">
        <v>93</v>
      </c>
      <c r="W4" s="218">
        <v>32</v>
      </c>
      <c r="X4" s="219"/>
      <c r="Y4" s="232" t="s">
        <v>101</v>
      </c>
      <c r="Z4" s="220"/>
      <c r="AA4" s="221"/>
    </row>
    <row r="5" spans="1:27" ht="14.4" thickBot="1" x14ac:dyDescent="0.3">
      <c r="A5" s="105"/>
      <c r="B5" s="27"/>
      <c r="C5" s="105"/>
      <c r="D5" s="27"/>
      <c r="E5" s="26"/>
      <c r="F5" s="27"/>
      <c r="G5" s="27"/>
      <c r="H5" s="27"/>
      <c r="I5" s="27"/>
      <c r="J5" s="158"/>
      <c r="K5" s="28"/>
      <c r="L5" s="29"/>
      <c r="M5" s="28"/>
      <c r="N5" s="28"/>
      <c r="O5" s="28"/>
      <c r="P5" s="28"/>
      <c r="Q5" s="28"/>
      <c r="R5" s="22"/>
      <c r="S5" s="24"/>
      <c r="T5" s="106"/>
      <c r="V5" s="256" t="s">
        <v>94</v>
      </c>
      <c r="W5" s="202"/>
      <c r="X5" s="211">
        <f>(W4-6.5)*PI()</f>
        <v>80.110612666539723</v>
      </c>
      <c r="Y5" s="233" t="s">
        <v>101</v>
      </c>
      <c r="Z5" s="213"/>
      <c r="AA5" s="222"/>
    </row>
    <row r="6" spans="1:27" ht="14.4" thickBot="1" x14ac:dyDescent="0.3">
      <c r="A6" s="105"/>
      <c r="B6" s="27"/>
      <c r="C6" s="105"/>
      <c r="D6" s="27"/>
      <c r="E6" s="26"/>
      <c r="F6" s="27"/>
      <c r="G6" s="27"/>
      <c r="H6" s="27"/>
      <c r="I6" s="30"/>
      <c r="J6" s="159"/>
      <c r="K6" s="32"/>
      <c r="L6" s="33"/>
      <c r="M6" s="32"/>
      <c r="N6" s="32"/>
      <c r="O6" s="32"/>
      <c r="P6" s="32"/>
      <c r="Q6" s="32"/>
      <c r="R6" s="34"/>
      <c r="S6" s="35"/>
      <c r="T6" s="281"/>
      <c r="V6" s="256" t="s">
        <v>99</v>
      </c>
      <c r="W6" s="202"/>
      <c r="X6" s="211">
        <v>27.2</v>
      </c>
      <c r="Y6" s="233" t="s">
        <v>101</v>
      </c>
      <c r="Z6" s="214"/>
      <c r="AA6" s="223"/>
    </row>
    <row r="7" spans="1:27" ht="14.4" thickBot="1" x14ac:dyDescent="0.3">
      <c r="A7" s="105"/>
      <c r="B7" s="27"/>
      <c r="C7" s="105"/>
      <c r="D7" s="27"/>
      <c r="E7" s="324" t="s">
        <v>25</v>
      </c>
      <c r="F7" s="325"/>
      <c r="G7" s="326"/>
      <c r="H7" s="27"/>
      <c r="I7" s="23"/>
      <c r="J7" s="327" t="s">
        <v>33</v>
      </c>
      <c r="K7" s="328"/>
      <c r="L7" s="328"/>
      <c r="M7" s="328"/>
      <c r="N7" s="116">
        <f>F9</f>
        <v>3.5</v>
      </c>
      <c r="O7" s="329" t="s">
        <v>34</v>
      </c>
      <c r="P7" s="329"/>
      <c r="Q7" s="329"/>
      <c r="R7" s="329"/>
      <c r="S7" s="329"/>
      <c r="T7" s="281"/>
      <c r="V7" s="256" t="s">
        <v>95</v>
      </c>
      <c r="W7" s="202"/>
      <c r="X7" s="212">
        <f>X6-4</f>
        <v>23.2</v>
      </c>
      <c r="Y7" s="234" t="s">
        <v>101</v>
      </c>
      <c r="Z7" s="215">
        <f>X7/1000</f>
        <v>2.3199999999999998E-2</v>
      </c>
      <c r="AA7" s="226" t="s">
        <v>16</v>
      </c>
    </row>
    <row r="8" spans="1:27" ht="14.4" thickBot="1" x14ac:dyDescent="0.3">
      <c r="A8" s="105"/>
      <c r="B8" s="27"/>
      <c r="C8" s="105"/>
      <c r="D8" s="27"/>
      <c r="E8" s="250" t="s">
        <v>8</v>
      </c>
      <c r="F8" s="335">
        <v>3.6</v>
      </c>
      <c r="G8" s="336"/>
      <c r="H8" s="27"/>
      <c r="I8" s="23"/>
      <c r="J8" s="242"/>
      <c r="K8" s="243"/>
      <c r="L8" s="243"/>
      <c r="M8" s="243"/>
      <c r="N8" s="244"/>
      <c r="O8" s="245"/>
      <c r="P8" s="245"/>
      <c r="Q8" s="245"/>
      <c r="R8" s="245"/>
      <c r="S8" s="245"/>
      <c r="T8" s="281"/>
      <c r="V8" s="256"/>
      <c r="W8" s="246"/>
      <c r="X8" s="212"/>
      <c r="Y8" s="235"/>
      <c r="Z8" s="247"/>
      <c r="AA8" s="248"/>
    </row>
    <row r="9" spans="1:27" ht="13.8" x14ac:dyDescent="0.25">
      <c r="A9" s="105"/>
      <c r="B9" s="27"/>
      <c r="C9" s="105"/>
      <c r="D9" s="27"/>
      <c r="E9" s="249" t="s">
        <v>110</v>
      </c>
      <c r="F9" s="330">
        <v>3.5</v>
      </c>
      <c r="G9" s="331"/>
      <c r="H9" s="27"/>
      <c r="I9" s="23"/>
      <c r="J9" s="160" t="s">
        <v>36</v>
      </c>
      <c r="K9" s="46" t="s">
        <v>37</v>
      </c>
      <c r="L9" s="12" t="s">
        <v>5</v>
      </c>
      <c r="M9" s="241" t="s">
        <v>109</v>
      </c>
      <c r="N9" s="332" t="s">
        <v>82</v>
      </c>
      <c r="O9" s="332"/>
      <c r="P9" s="333" t="s">
        <v>108</v>
      </c>
      <c r="Q9" s="334"/>
      <c r="R9" s="334"/>
      <c r="S9" s="334"/>
      <c r="T9" s="281"/>
      <c r="V9" s="257" t="s">
        <v>100</v>
      </c>
      <c r="W9" s="205">
        <v>70</v>
      </c>
      <c r="X9" s="201"/>
      <c r="Y9" s="235" t="s">
        <v>101</v>
      </c>
      <c r="Z9" s="216"/>
      <c r="AA9" s="227"/>
    </row>
    <row r="10" spans="1:27" ht="14.4" thickBot="1" x14ac:dyDescent="0.3">
      <c r="A10" s="105"/>
      <c r="B10" s="27"/>
      <c r="C10" s="105"/>
      <c r="D10" s="27"/>
      <c r="E10" s="5" t="s">
        <v>9</v>
      </c>
      <c r="F10" s="340">
        <v>1.8</v>
      </c>
      <c r="G10" s="341"/>
      <c r="H10" s="27"/>
      <c r="I10" s="23"/>
      <c r="J10" s="161">
        <f>(F13/2/PI()/F9)</f>
        <v>13.732797946786397</v>
      </c>
      <c r="K10" s="2">
        <f>1000000/2/PI()/F13/F9</f>
        <v>150.57232080595585</v>
      </c>
      <c r="L10" s="13">
        <f>(J10*0.000001)/(K10*0.000000000001)</f>
        <v>91203.999999999985</v>
      </c>
      <c r="M10" s="21">
        <f>(0.15*(F15)*(1/(1.03+0.8*(F15)/(N14)))*SQRT(F9*1000000))/2</f>
        <v>282.17231588625839</v>
      </c>
      <c r="N10" s="354">
        <f>(F13^2+P10^2)/P10</f>
        <v>85217.109665649405</v>
      </c>
      <c r="O10" s="355"/>
      <c r="P10" s="356">
        <f>F13/M10</f>
        <v>1.0702679993657989</v>
      </c>
      <c r="Q10" s="357"/>
      <c r="R10" s="357"/>
      <c r="S10" s="357"/>
      <c r="T10" s="281"/>
      <c r="V10" s="258" t="s">
        <v>96</v>
      </c>
      <c r="W10" s="202"/>
      <c r="X10" s="204">
        <f>W9-10</f>
        <v>60</v>
      </c>
      <c r="Y10" s="234" t="s">
        <v>101</v>
      </c>
      <c r="Z10" s="238">
        <f>X10/1000</f>
        <v>0.06</v>
      </c>
      <c r="AA10" s="228" t="s">
        <v>16</v>
      </c>
    </row>
    <row r="11" spans="1:27" ht="14.4" thickBot="1" x14ac:dyDescent="0.3">
      <c r="A11" s="105"/>
      <c r="B11" s="27"/>
      <c r="C11" s="105"/>
      <c r="D11" s="27"/>
      <c r="E11" s="5" t="s">
        <v>7</v>
      </c>
      <c r="F11" s="358">
        <v>1.8</v>
      </c>
      <c r="G11" s="349"/>
      <c r="H11" s="27"/>
      <c r="I11" s="23"/>
      <c r="J11" s="158"/>
      <c r="K11" s="28"/>
      <c r="L11" s="29"/>
      <c r="M11" s="28"/>
      <c r="N11" s="28"/>
      <c r="O11" s="28"/>
      <c r="P11" s="28"/>
      <c r="Q11" s="28"/>
      <c r="R11" s="22"/>
      <c r="S11" s="280"/>
      <c r="T11" s="106"/>
      <c r="V11" s="257" t="s">
        <v>97</v>
      </c>
      <c r="W11" s="208">
        <v>1.5</v>
      </c>
      <c r="X11" s="201"/>
      <c r="Y11" s="236" t="s">
        <v>101</v>
      </c>
      <c r="Z11" s="238">
        <f>W11/1000</f>
        <v>1.5E-3</v>
      </c>
      <c r="AA11" s="228" t="s">
        <v>16</v>
      </c>
    </row>
    <row r="12" spans="1:27" ht="13.2" customHeight="1" thickBot="1" x14ac:dyDescent="0.35">
      <c r="A12" s="105"/>
      <c r="B12" s="27"/>
      <c r="C12" s="105"/>
      <c r="D12" s="27"/>
      <c r="E12" s="5" t="s">
        <v>0</v>
      </c>
      <c r="F12" s="348">
        <v>5.18</v>
      </c>
      <c r="G12" s="349"/>
      <c r="H12" s="27"/>
      <c r="I12" s="23"/>
      <c r="J12" s="324" t="s">
        <v>86</v>
      </c>
      <c r="K12" s="325"/>
      <c r="L12" s="325"/>
      <c r="M12" s="325"/>
      <c r="N12" s="325"/>
      <c r="O12" s="325"/>
      <c r="P12" s="350"/>
      <c r="Q12" s="350"/>
      <c r="R12" s="350"/>
      <c r="S12" s="351"/>
      <c r="T12" s="281"/>
      <c r="V12" s="258" t="s">
        <v>90</v>
      </c>
      <c r="W12" s="237">
        <f>X7*X10</f>
        <v>1392</v>
      </c>
      <c r="X12" s="209"/>
      <c r="Y12" s="210"/>
      <c r="Z12" s="239">
        <f>Z7*Z10</f>
        <v>1.3919999999999998E-3</v>
      </c>
      <c r="AA12" s="229" t="s">
        <v>102</v>
      </c>
    </row>
    <row r="13" spans="1:27" ht="13.8" x14ac:dyDescent="0.25">
      <c r="A13" s="105"/>
      <c r="B13" s="27"/>
      <c r="C13" s="105"/>
      <c r="D13" s="27"/>
      <c r="E13" s="96" t="s">
        <v>76</v>
      </c>
      <c r="F13" s="348">
        <v>302</v>
      </c>
      <c r="G13" s="349"/>
      <c r="H13" s="27"/>
      <c r="I13" s="23"/>
      <c r="J13" s="162" t="s">
        <v>18</v>
      </c>
      <c r="K13" s="20" t="s">
        <v>20</v>
      </c>
      <c r="L13" s="44" t="s">
        <v>1</v>
      </c>
      <c r="M13" s="20" t="s">
        <v>21</v>
      </c>
      <c r="N13" s="352" t="s">
        <v>19</v>
      </c>
      <c r="O13" s="353"/>
      <c r="P13" s="304" t="s">
        <v>83</v>
      </c>
      <c r="Q13" s="305"/>
      <c r="R13" s="305"/>
      <c r="S13" s="306"/>
      <c r="T13" s="281"/>
      <c r="V13" s="259" t="s">
        <v>103</v>
      </c>
      <c r="W13" s="203">
        <v>3.1</v>
      </c>
      <c r="X13" s="206"/>
      <c r="Y13" s="207"/>
      <c r="Z13" s="217"/>
      <c r="AA13" s="230"/>
    </row>
    <row r="14" spans="1:27" ht="14.4" thickBot="1" x14ac:dyDescent="0.3">
      <c r="A14" s="105"/>
      <c r="B14" s="27"/>
      <c r="C14" s="105"/>
      <c r="D14" s="27"/>
      <c r="E14" s="186" t="s">
        <v>3</v>
      </c>
      <c r="F14" s="307">
        <v>3</v>
      </c>
      <c r="G14" s="308"/>
      <c r="H14" s="27"/>
      <c r="I14" s="23"/>
      <c r="J14" s="278">
        <f>10/(2*F11)</f>
        <v>2.7777777777777777</v>
      </c>
      <c r="K14" s="279">
        <f>50/J14/((F12+F11/10)^2)</f>
        <v>0.62653152149699276</v>
      </c>
      <c r="L14" s="17">
        <f>J10*K14*(1+SQRT(1+23/(F12/2+F11/10)/J10/(K14^2)))</f>
        <v>22.317388806272103</v>
      </c>
      <c r="M14" s="279">
        <f>L14*1.06*PI()*SQRT((F12+F11/10)^2+(F11/10)^2)/100</f>
        <v>3.9857371862931252</v>
      </c>
      <c r="N14" s="309">
        <f>L14*2*F11/10</f>
        <v>8.034259970257958</v>
      </c>
      <c r="O14" s="310"/>
      <c r="P14" s="311">
        <f>N14/F12</f>
        <v>1.5510154382737371</v>
      </c>
      <c r="Q14" s="312"/>
      <c r="R14" s="312"/>
      <c r="S14" s="313"/>
      <c r="T14" s="281"/>
      <c r="V14" s="260" t="s">
        <v>98</v>
      </c>
      <c r="W14" s="359">
        <f>8.8542*3.1*9649*0.000001/3/0.001</f>
        <v>88.28198166</v>
      </c>
      <c r="X14" s="360"/>
      <c r="Y14" s="224"/>
      <c r="Z14" s="225">
        <f>8.85418*W13*Z12/Z11</f>
        <v>25.471705023999998</v>
      </c>
      <c r="AA14" s="231" t="s">
        <v>91</v>
      </c>
    </row>
    <row r="15" spans="1:27" ht="14.4" thickBot="1" x14ac:dyDescent="0.3">
      <c r="A15" s="105"/>
      <c r="B15" s="27"/>
      <c r="C15" s="105"/>
      <c r="D15" s="27"/>
      <c r="E15" s="187" t="s">
        <v>89</v>
      </c>
      <c r="F15" s="314">
        <f>F12/2</f>
        <v>2.59</v>
      </c>
      <c r="G15" s="315"/>
      <c r="H15" s="27"/>
      <c r="I15" s="37"/>
      <c r="J15" s="188" t="s">
        <v>20</v>
      </c>
      <c r="K15" s="42"/>
      <c r="L15" s="43"/>
      <c r="M15" s="42"/>
      <c r="N15" s="42"/>
      <c r="O15" s="42"/>
      <c r="P15" s="42"/>
      <c r="Q15" s="42"/>
      <c r="R15" s="40"/>
      <c r="S15" s="41"/>
      <c r="T15" s="106"/>
      <c r="AA15" s="200"/>
    </row>
    <row r="16" spans="1:27" ht="14.4" customHeight="1" thickBot="1" x14ac:dyDescent="0.3">
      <c r="A16" s="105"/>
      <c r="B16" s="118"/>
      <c r="C16" s="105"/>
      <c r="D16" s="27"/>
      <c r="E16" s="26"/>
      <c r="F16" s="27"/>
      <c r="G16" s="27"/>
      <c r="H16" s="27"/>
      <c r="I16" s="27"/>
      <c r="J16" s="158"/>
      <c r="K16" s="28"/>
      <c r="L16" s="29"/>
      <c r="M16" s="28"/>
      <c r="N16" s="28"/>
      <c r="O16" s="28"/>
      <c r="P16" s="28"/>
      <c r="Q16" s="28"/>
      <c r="R16" s="22"/>
      <c r="S16" s="24"/>
      <c r="T16" s="281"/>
      <c r="V16" s="337" t="s">
        <v>120</v>
      </c>
      <c r="W16" s="338"/>
      <c r="X16" s="338"/>
      <c r="Y16" s="338"/>
      <c r="Z16" s="338"/>
      <c r="AA16" s="339"/>
    </row>
    <row r="17" spans="1:27" ht="14.4" thickBot="1" x14ac:dyDescent="0.3">
      <c r="A17" s="105"/>
      <c r="B17" s="125"/>
      <c r="C17" s="105"/>
      <c r="D17" s="118"/>
      <c r="E17" s="196"/>
      <c r="F17" s="119"/>
      <c r="G17" s="119"/>
      <c r="H17" s="119"/>
      <c r="I17" s="119"/>
      <c r="J17" s="164"/>
      <c r="K17" s="120"/>
      <c r="L17" s="121"/>
      <c r="M17" s="120"/>
      <c r="N17" s="120"/>
      <c r="O17" s="120"/>
      <c r="P17" s="120"/>
      <c r="Q17" s="120"/>
      <c r="R17" s="153"/>
      <c r="S17" s="154"/>
      <c r="T17" s="106"/>
      <c r="V17" s="253" t="s">
        <v>111</v>
      </c>
      <c r="W17" s="265">
        <v>32</v>
      </c>
      <c r="X17" s="263"/>
      <c r="Y17" s="264" t="s">
        <v>119</v>
      </c>
      <c r="Z17" s="269"/>
      <c r="AA17" s="221"/>
    </row>
    <row r="18" spans="1:27" ht="14.4" thickBot="1" x14ac:dyDescent="0.3">
      <c r="A18" s="105"/>
      <c r="B18" s="125"/>
      <c r="C18" s="105"/>
      <c r="D18" s="125"/>
      <c r="E18" s="316" t="s">
        <v>35</v>
      </c>
      <c r="F18" s="361">
        <f>F10</f>
        <v>1.8</v>
      </c>
      <c r="G18" s="364" t="s">
        <v>34</v>
      </c>
      <c r="H18" s="122"/>
      <c r="I18" s="122"/>
      <c r="J18" s="319" t="s">
        <v>10</v>
      </c>
      <c r="K18" s="320"/>
      <c r="L18" s="320"/>
      <c r="M18" s="320"/>
      <c r="N18" s="320"/>
      <c r="O18" s="320"/>
      <c r="P18" s="320"/>
      <c r="Q18" s="320"/>
      <c r="R18" s="321"/>
      <c r="S18" s="134"/>
      <c r="T18" s="106"/>
      <c r="V18" s="254" t="s">
        <v>112</v>
      </c>
      <c r="W18" s="261"/>
      <c r="X18" s="251">
        <f>W17-4.8</f>
        <v>27.2</v>
      </c>
      <c r="Y18" s="252" t="s">
        <v>119</v>
      </c>
      <c r="Z18" s="270"/>
      <c r="AA18" s="222"/>
    </row>
    <row r="19" spans="1:27" ht="13.8" x14ac:dyDescent="0.25">
      <c r="A19" s="105"/>
      <c r="B19" s="125"/>
      <c r="C19" s="105"/>
      <c r="D19" s="125"/>
      <c r="E19" s="317"/>
      <c r="F19" s="362"/>
      <c r="G19" s="365"/>
      <c r="H19" s="122"/>
      <c r="I19" s="122"/>
      <c r="J19" s="178" t="s">
        <v>105</v>
      </c>
      <c r="K19" s="195" t="s">
        <v>106</v>
      </c>
      <c r="L19" s="179" t="s">
        <v>84</v>
      </c>
      <c r="M19" s="180" t="s">
        <v>107</v>
      </c>
      <c r="N19" s="322" t="s">
        <v>85</v>
      </c>
      <c r="O19" s="323"/>
      <c r="P19" s="291" t="s">
        <v>2</v>
      </c>
      <c r="Q19" s="291"/>
      <c r="R19" s="292"/>
      <c r="S19" s="134"/>
      <c r="T19" s="106"/>
      <c r="V19" s="254" t="s">
        <v>113</v>
      </c>
      <c r="W19" s="251">
        <f>X18-2</f>
        <v>25.2</v>
      </c>
      <c r="X19" s="268"/>
      <c r="Y19" s="252" t="s">
        <v>119</v>
      </c>
      <c r="Z19" s="270"/>
      <c r="AA19" s="222"/>
    </row>
    <row r="20" spans="1:27" ht="14.4" thickBot="1" x14ac:dyDescent="0.3">
      <c r="A20" s="105"/>
      <c r="B20" s="125"/>
      <c r="C20" s="105"/>
      <c r="D20" s="125"/>
      <c r="E20" s="317"/>
      <c r="F20" s="362"/>
      <c r="G20" s="365"/>
      <c r="H20" s="122"/>
      <c r="I20" s="122"/>
      <c r="J20" s="163">
        <f>2*PI()*F10*J10</f>
        <v>155.31428571428569</v>
      </c>
      <c r="K20" s="193">
        <f>1000000/2/PI()/F10/K10</f>
        <v>587.22222222222217</v>
      </c>
      <c r="L20" s="190">
        <f>N10*(F10/F9)^1.5</f>
        <v>31429.211907241239</v>
      </c>
      <c r="M20" s="192">
        <f>L20^2*N22/(L20^2+N22^2)</f>
        <v>211.15583986432353</v>
      </c>
      <c r="N20" s="293">
        <f>L20*N22^2/(L20^2+N22^2)</f>
        <v>1.4187056794872948</v>
      </c>
      <c r="O20" s="294"/>
      <c r="P20" s="295">
        <f>N22/N20</f>
        <v>148.84367833461687</v>
      </c>
      <c r="Q20" s="295"/>
      <c r="R20" s="296"/>
      <c r="S20" s="134"/>
      <c r="T20" s="106"/>
      <c r="V20" s="254" t="s">
        <v>114</v>
      </c>
      <c r="W20" s="266">
        <v>1.5</v>
      </c>
      <c r="X20" s="261"/>
      <c r="Y20" s="252" t="s">
        <v>119</v>
      </c>
      <c r="Z20" s="270"/>
      <c r="AA20" s="222"/>
    </row>
    <row r="21" spans="1:27" ht="14.4" thickBot="1" x14ac:dyDescent="0.3">
      <c r="A21" s="105"/>
      <c r="B21" s="125"/>
      <c r="C21" s="105"/>
      <c r="D21" s="125"/>
      <c r="E21" s="317"/>
      <c r="F21" s="362"/>
      <c r="G21" s="365"/>
      <c r="H21" s="122"/>
      <c r="I21" s="122"/>
      <c r="J21" s="165"/>
      <c r="K21" s="146"/>
      <c r="L21" s="140"/>
      <c r="M21" s="129"/>
      <c r="N21" s="129"/>
      <c r="O21" s="129"/>
      <c r="P21" s="129"/>
      <c r="Q21" s="129"/>
      <c r="R21" s="133"/>
      <c r="S21" s="134"/>
      <c r="T21" s="106"/>
      <c r="V21" s="254" t="s">
        <v>115</v>
      </c>
      <c r="W21" s="267">
        <v>22</v>
      </c>
      <c r="X21" s="268"/>
      <c r="Y21" s="252" t="s">
        <v>119</v>
      </c>
      <c r="Z21" s="270"/>
      <c r="AA21" s="222"/>
    </row>
    <row r="22" spans="1:27" ht="14.4" thickBot="1" x14ac:dyDescent="0.3">
      <c r="A22" s="105"/>
      <c r="B22" s="125"/>
      <c r="C22" s="105"/>
      <c r="D22" s="125"/>
      <c r="E22" s="317"/>
      <c r="F22" s="362"/>
      <c r="G22" s="365"/>
      <c r="H22" s="122"/>
      <c r="I22" s="122"/>
      <c r="J22" s="297" t="s">
        <v>22</v>
      </c>
      <c r="K22" s="298"/>
      <c r="L22" s="298"/>
      <c r="M22" s="298"/>
      <c r="N22" s="183">
        <f>ABS(-J20*K20/(J20-K20))</f>
        <v>211.16537180910095</v>
      </c>
      <c r="O22" s="19" t="s">
        <v>88</v>
      </c>
      <c r="P22" s="19"/>
      <c r="Q22" s="282">
        <f>ROUND(N22/2/PI()/F10,1)</f>
        <v>18.7</v>
      </c>
      <c r="R22" s="18" t="s">
        <v>28</v>
      </c>
      <c r="S22" s="134"/>
      <c r="T22" s="106"/>
      <c r="V22" s="254" t="s">
        <v>116</v>
      </c>
      <c r="W22" s="267">
        <v>3</v>
      </c>
      <c r="Y22" s="261"/>
      <c r="Z22" s="270"/>
      <c r="AA22" s="222"/>
    </row>
    <row r="23" spans="1:27" ht="13.8" thickBot="1" x14ac:dyDescent="0.3">
      <c r="A23" s="105"/>
      <c r="B23" s="125"/>
      <c r="C23" s="105"/>
      <c r="D23" s="125"/>
      <c r="E23" s="317"/>
      <c r="F23" s="362"/>
      <c r="G23" s="365"/>
      <c r="H23" s="122"/>
      <c r="I23" s="122"/>
      <c r="J23" s="167"/>
      <c r="K23" s="151"/>
      <c r="L23" s="152"/>
      <c r="M23" s="129"/>
      <c r="N23" s="129"/>
      <c r="O23" s="129"/>
      <c r="P23" s="129"/>
      <c r="Q23" s="129"/>
      <c r="R23" s="133"/>
      <c r="S23" s="134"/>
      <c r="T23" s="106"/>
      <c r="V23" s="254" t="s">
        <v>117</v>
      </c>
      <c r="W23" s="267">
        <v>30</v>
      </c>
      <c r="Y23" s="252" t="s">
        <v>91</v>
      </c>
      <c r="Z23" s="270"/>
      <c r="AA23" s="271"/>
    </row>
    <row r="24" spans="1:27" ht="13.8" thickBot="1" x14ac:dyDescent="0.3">
      <c r="A24" s="105"/>
      <c r="B24" s="125"/>
      <c r="C24" s="105"/>
      <c r="D24" s="125"/>
      <c r="E24" s="317"/>
      <c r="F24" s="362"/>
      <c r="G24" s="365"/>
      <c r="H24" s="122"/>
      <c r="I24" s="122"/>
      <c r="J24" s="299" t="s">
        <v>26</v>
      </c>
      <c r="K24" s="300"/>
      <c r="L24" s="301" t="s">
        <v>87</v>
      </c>
      <c r="M24" s="302"/>
      <c r="N24" s="303"/>
      <c r="O24" s="146"/>
      <c r="P24" s="129"/>
      <c r="Q24" s="129"/>
      <c r="R24" s="133"/>
      <c r="S24" s="134"/>
      <c r="T24" s="106"/>
      <c r="V24" s="274" t="s">
        <v>118</v>
      </c>
      <c r="W24" s="262"/>
      <c r="X24" s="276">
        <f>W23*LN(W19/W21)*1000/(2*PI()*8.8542*3)</f>
        <v>24.410434093381859</v>
      </c>
      <c r="Y24" s="275" t="s">
        <v>119</v>
      </c>
      <c r="Z24" s="272"/>
      <c r="AA24" s="273"/>
    </row>
    <row r="25" spans="1:27" ht="13.8" thickBot="1" x14ac:dyDescent="0.3">
      <c r="A25" s="105"/>
      <c r="B25" s="125"/>
      <c r="C25" s="105"/>
      <c r="D25" s="125"/>
      <c r="E25" s="317"/>
      <c r="F25" s="362"/>
      <c r="G25" s="365"/>
      <c r="H25" s="122"/>
      <c r="I25" s="122"/>
      <c r="J25" s="181" t="s">
        <v>17</v>
      </c>
      <c r="K25" s="182">
        <f>71.25/F8</f>
        <v>19.791666666666668</v>
      </c>
      <c r="L25" s="342" t="s">
        <v>23</v>
      </c>
      <c r="M25" s="343"/>
      <c r="N25" s="344"/>
      <c r="O25" s="129"/>
      <c r="P25" s="129"/>
      <c r="Q25" s="129"/>
      <c r="R25" s="133"/>
      <c r="S25" s="134"/>
      <c r="T25" s="106"/>
    </row>
    <row r="26" spans="1:27" x14ac:dyDescent="0.25">
      <c r="A26" s="105"/>
      <c r="B26" s="125"/>
      <c r="C26" s="105"/>
      <c r="D26" s="125"/>
      <c r="E26" s="317"/>
      <c r="F26" s="362"/>
      <c r="G26" s="365"/>
      <c r="H26" s="122"/>
      <c r="I26" s="122"/>
      <c r="J26" s="168" t="s">
        <v>11</v>
      </c>
      <c r="K26" s="8">
        <f>300/F10</f>
        <v>166.66666666666666</v>
      </c>
      <c r="L26" s="9" t="s">
        <v>14</v>
      </c>
      <c r="M26" s="15">
        <f>K30-N22</f>
        <v>-759.84835648029673</v>
      </c>
      <c r="N26" s="117" t="s">
        <v>27</v>
      </c>
      <c r="O26" s="129"/>
      <c r="P26" s="129"/>
      <c r="Q26" s="129"/>
      <c r="R26" s="133"/>
      <c r="S26" s="134"/>
      <c r="T26" s="106"/>
      <c r="W26" s="277"/>
    </row>
    <row r="27" spans="1:27" ht="13.8" thickBot="1" x14ac:dyDescent="0.3">
      <c r="A27" s="105"/>
      <c r="B27" s="125"/>
      <c r="C27" s="105"/>
      <c r="D27" s="125"/>
      <c r="E27" s="317"/>
      <c r="F27" s="362"/>
      <c r="G27" s="365"/>
      <c r="H27" s="122"/>
      <c r="I27" s="122"/>
      <c r="J27" s="169" t="s">
        <v>4</v>
      </c>
      <c r="K27" s="8">
        <f>60*(LN(4*K25*1000/F14)-1)</f>
        <v>550.84189950723692</v>
      </c>
      <c r="L27" s="45" t="s">
        <v>15</v>
      </c>
      <c r="M27" s="14">
        <f>ATAN(-K27/M26)*K26*0.95/2/PI()</f>
        <v>15.806826370569825</v>
      </c>
      <c r="N27" s="194" t="s">
        <v>16</v>
      </c>
      <c r="O27" s="129"/>
      <c r="P27" s="129">
        <f>J20*K20/(J20-K20)</f>
        <v>-211.16537180910095</v>
      </c>
      <c r="Q27" s="129"/>
      <c r="R27" s="133"/>
      <c r="S27" s="134"/>
      <c r="T27" s="106"/>
    </row>
    <row r="28" spans="1:27" x14ac:dyDescent="0.25">
      <c r="A28" s="105"/>
      <c r="B28" s="125"/>
      <c r="C28" s="105"/>
      <c r="D28" s="125"/>
      <c r="E28" s="317"/>
      <c r="F28" s="362"/>
      <c r="G28" s="365"/>
      <c r="H28" s="122"/>
      <c r="I28" s="122"/>
      <c r="J28" s="169" t="s">
        <v>6</v>
      </c>
      <c r="K28" s="10">
        <f>2*PI()/K26</f>
        <v>3.7699111843077518E-2</v>
      </c>
      <c r="L28" s="145"/>
      <c r="M28" s="122"/>
      <c r="N28" s="191"/>
      <c r="O28" s="191"/>
      <c r="P28" s="129"/>
      <c r="Q28" s="137"/>
      <c r="R28" s="133"/>
      <c r="S28" s="134"/>
      <c r="T28" s="106"/>
    </row>
    <row r="29" spans="1:27" x14ac:dyDescent="0.25">
      <c r="A29" s="105"/>
      <c r="B29" s="125"/>
      <c r="C29" s="105"/>
      <c r="D29" s="125"/>
      <c r="E29" s="317"/>
      <c r="F29" s="362"/>
      <c r="G29" s="365"/>
      <c r="H29" s="122"/>
      <c r="I29" s="122"/>
      <c r="J29" s="169" t="s">
        <v>12</v>
      </c>
      <c r="K29" s="10">
        <f>K28*K25*1.05</f>
        <v>0.78343466798895478</v>
      </c>
      <c r="L29" s="345"/>
      <c r="M29" s="129"/>
      <c r="N29" s="346"/>
      <c r="O29" s="346"/>
      <c r="P29" s="129"/>
      <c r="Q29" s="122"/>
      <c r="R29" s="133"/>
      <c r="S29" s="134"/>
      <c r="T29" s="106"/>
      <c r="W29" s="240"/>
    </row>
    <row r="30" spans="1:27" ht="13.8" thickBot="1" x14ac:dyDescent="0.3">
      <c r="A30" s="105"/>
      <c r="B30" s="125"/>
      <c r="C30" s="105"/>
      <c r="D30" s="125"/>
      <c r="E30" s="318"/>
      <c r="F30" s="363"/>
      <c r="G30" s="366"/>
      <c r="H30" s="122"/>
      <c r="I30" s="122"/>
      <c r="J30" s="170" t="s">
        <v>13</v>
      </c>
      <c r="K30" s="184">
        <f>-K27*TAN(K29)</f>
        <v>-548.68298467119575</v>
      </c>
      <c r="L30" s="345"/>
      <c r="M30" s="129"/>
      <c r="N30" s="347"/>
      <c r="O30" s="347"/>
      <c r="P30" s="129"/>
      <c r="Q30" s="129"/>
      <c r="R30" s="133"/>
      <c r="S30" s="185"/>
      <c r="T30" s="106"/>
      <c r="W30" s="240"/>
    </row>
    <row r="31" spans="1:27" ht="13.8" x14ac:dyDescent="0.25">
      <c r="A31" s="105"/>
      <c r="B31" s="125"/>
      <c r="C31" s="105"/>
      <c r="D31" s="125"/>
      <c r="E31" s="197"/>
      <c r="F31" s="126"/>
      <c r="G31" s="123"/>
      <c r="H31" s="122"/>
      <c r="I31" s="122"/>
      <c r="J31" s="171"/>
      <c r="K31" s="129"/>
      <c r="L31" s="130" t="s">
        <v>80</v>
      </c>
      <c r="M31" s="131"/>
      <c r="N31" s="132"/>
      <c r="O31" s="132"/>
      <c r="P31" s="129"/>
      <c r="Q31" s="129"/>
      <c r="R31" s="133"/>
      <c r="S31" s="134"/>
      <c r="T31" s="106"/>
    </row>
    <row r="32" spans="1:27" ht="13.8" thickBot="1" x14ac:dyDescent="0.3">
      <c r="A32" s="105"/>
      <c r="B32" s="125"/>
      <c r="C32" s="105"/>
      <c r="D32" s="125"/>
      <c r="E32" s="198"/>
      <c r="F32" s="122"/>
      <c r="G32" s="122"/>
      <c r="H32" s="122"/>
      <c r="I32" s="122"/>
      <c r="J32" s="283">
        <f>K30</f>
        <v>-548.68298467119575</v>
      </c>
      <c r="K32" s="283"/>
      <c r="L32" s="135" t="s">
        <v>27</v>
      </c>
      <c r="M32" s="191">
        <f>M26</f>
        <v>-759.84835648029673</v>
      </c>
      <c r="N32" s="136"/>
      <c r="O32" s="136"/>
      <c r="P32" s="136"/>
      <c r="Q32" s="129"/>
      <c r="R32" s="133"/>
      <c r="S32" s="134"/>
      <c r="T32" s="106"/>
    </row>
    <row r="33" spans="1:20" ht="13.8" thickBot="1" x14ac:dyDescent="0.3">
      <c r="A33" s="105"/>
      <c r="B33" s="125"/>
      <c r="C33" s="105"/>
      <c r="D33" s="125"/>
      <c r="E33" s="198"/>
      <c r="F33" s="122"/>
      <c r="G33" s="122"/>
      <c r="H33" s="122"/>
      <c r="I33" s="122"/>
      <c r="J33" s="166"/>
      <c r="K33" s="129"/>
      <c r="L33" s="156">
        <f>ROUND(+N22,0)</f>
        <v>211</v>
      </c>
      <c r="M33" s="137"/>
      <c r="N33" s="129"/>
      <c r="O33" s="129"/>
      <c r="P33" s="129"/>
      <c r="Q33" s="129"/>
      <c r="R33" s="133"/>
      <c r="S33" s="134"/>
      <c r="T33" s="106"/>
    </row>
    <row r="34" spans="1:20" x14ac:dyDescent="0.25">
      <c r="A34" s="105"/>
      <c r="B34" s="125"/>
      <c r="C34" s="105"/>
      <c r="D34" s="125"/>
      <c r="E34" s="198"/>
      <c r="F34" s="122"/>
      <c r="G34" s="122"/>
      <c r="H34" s="122"/>
      <c r="I34" s="122"/>
      <c r="J34" s="172">
        <f>K25</f>
        <v>19.791666666666668</v>
      </c>
      <c r="K34" s="139" t="s">
        <v>16</v>
      </c>
      <c r="L34" s="155" t="str">
        <f>CONCATENATE(Q22," uH")</f>
        <v>18,7 uH</v>
      </c>
      <c r="M34" s="138">
        <f>M27</f>
        <v>15.806826370569825</v>
      </c>
      <c r="N34" s="129" t="s">
        <v>16</v>
      </c>
      <c r="O34" s="129"/>
      <c r="P34" s="129"/>
      <c r="Q34" s="129"/>
      <c r="R34" s="133"/>
      <c r="S34" s="134"/>
      <c r="T34" s="106"/>
    </row>
    <row r="35" spans="1:20" x14ac:dyDescent="0.25">
      <c r="A35" s="105"/>
      <c r="B35" s="125"/>
      <c r="C35" s="105"/>
      <c r="D35" s="125"/>
      <c r="E35" s="198"/>
      <c r="F35" s="122"/>
      <c r="G35" s="122"/>
      <c r="H35" s="122"/>
      <c r="I35" s="122"/>
      <c r="J35" s="173" t="s">
        <v>77</v>
      </c>
      <c r="K35" s="141" t="s">
        <v>78</v>
      </c>
      <c r="L35" s="142" t="s">
        <v>79</v>
      </c>
      <c r="M35" s="128"/>
      <c r="N35" s="129"/>
      <c r="O35" s="129"/>
      <c r="P35" s="129"/>
      <c r="Q35" s="129"/>
      <c r="R35" s="133"/>
      <c r="S35" s="134"/>
      <c r="T35" s="106"/>
    </row>
    <row r="36" spans="1:20" x14ac:dyDescent="0.25">
      <c r="A36" s="105"/>
      <c r="B36" s="125"/>
      <c r="C36" s="105"/>
      <c r="D36" s="125"/>
      <c r="E36" s="198"/>
      <c r="F36" s="122"/>
      <c r="G36" s="122"/>
      <c r="H36" s="122"/>
      <c r="I36" s="122"/>
      <c r="J36" s="172"/>
      <c r="K36" s="139"/>
      <c r="L36" s="140"/>
      <c r="M36" s="128" t="str">
        <f>"X"</f>
        <v>X</v>
      </c>
      <c r="N36" s="129"/>
      <c r="O36" s="129"/>
      <c r="P36" s="129"/>
      <c r="Q36" s="129"/>
      <c r="R36" s="133"/>
      <c r="S36" s="134"/>
      <c r="T36" s="106"/>
    </row>
    <row r="37" spans="1:20" x14ac:dyDescent="0.25">
      <c r="A37" s="105"/>
      <c r="B37" s="125"/>
      <c r="C37" s="105"/>
      <c r="D37" s="125"/>
      <c r="E37" s="198"/>
      <c r="F37" s="122"/>
      <c r="G37" s="122"/>
      <c r="H37" s="122"/>
      <c r="I37" s="122"/>
      <c r="J37" s="174"/>
      <c r="K37" s="129"/>
      <c r="L37" s="140"/>
      <c r="M37" s="143" t="s">
        <v>81</v>
      </c>
      <c r="N37" s="144"/>
      <c r="O37" s="129"/>
      <c r="P37" s="129"/>
      <c r="Q37" s="129"/>
      <c r="R37" s="133"/>
      <c r="S37" s="134"/>
      <c r="T37" s="106"/>
    </row>
    <row r="38" spans="1:20" x14ac:dyDescent="0.25">
      <c r="A38" s="105"/>
      <c r="B38" s="125"/>
      <c r="C38" s="105"/>
      <c r="D38" s="125"/>
      <c r="E38" s="198"/>
      <c r="F38" s="122"/>
      <c r="G38" s="122"/>
      <c r="H38" s="122"/>
      <c r="I38" s="122"/>
      <c r="J38" s="166"/>
      <c r="K38" s="129"/>
      <c r="L38" s="140"/>
      <c r="M38" s="129"/>
      <c r="N38" s="129"/>
      <c r="O38" s="129"/>
      <c r="P38" s="129"/>
      <c r="Q38" s="129"/>
      <c r="R38" s="133"/>
      <c r="S38" s="134"/>
      <c r="T38" s="106"/>
    </row>
    <row r="39" spans="1:20" x14ac:dyDescent="0.25">
      <c r="A39" s="105"/>
      <c r="B39" s="125"/>
      <c r="C39" s="105"/>
      <c r="D39" s="125"/>
      <c r="E39" s="198"/>
      <c r="F39" s="122"/>
      <c r="G39" s="284" t="s">
        <v>24</v>
      </c>
      <c r="H39" s="284"/>
      <c r="I39" s="189"/>
      <c r="J39" s="175"/>
      <c r="K39" s="7"/>
      <c r="L39" s="29"/>
      <c r="M39" s="28"/>
      <c r="N39" s="7"/>
      <c r="O39" s="7"/>
      <c r="P39" s="28"/>
      <c r="Q39" s="7"/>
      <c r="R39" s="133"/>
      <c r="S39" s="134"/>
      <c r="T39" s="106"/>
    </row>
    <row r="40" spans="1:20" x14ac:dyDescent="0.25">
      <c r="A40" s="105"/>
      <c r="B40" s="125"/>
      <c r="C40" s="105"/>
      <c r="D40" s="125"/>
      <c r="E40" s="198"/>
      <c r="F40" s="122"/>
      <c r="G40" s="122"/>
      <c r="H40" s="122"/>
      <c r="I40" s="122"/>
      <c r="J40" s="175"/>
      <c r="K40" s="7"/>
      <c r="L40" s="16"/>
      <c r="M40" s="7"/>
      <c r="N40" s="7"/>
      <c r="O40" s="7"/>
      <c r="P40" s="7"/>
      <c r="Q40" s="7"/>
      <c r="R40" s="133"/>
      <c r="S40" s="134"/>
      <c r="T40" s="106"/>
    </row>
    <row r="41" spans="1:20" x14ac:dyDescent="0.25">
      <c r="A41" s="105"/>
      <c r="B41" s="125"/>
      <c r="C41" s="105"/>
      <c r="D41" s="125"/>
      <c r="E41" s="198"/>
      <c r="F41" s="122"/>
      <c r="G41" s="122"/>
      <c r="H41" s="122"/>
      <c r="I41" s="122"/>
      <c r="J41" s="175"/>
      <c r="K41" s="7"/>
      <c r="L41" s="16"/>
      <c r="M41" s="7"/>
      <c r="N41" s="115"/>
      <c r="O41" s="115"/>
      <c r="P41" s="7"/>
      <c r="Q41" s="7"/>
      <c r="R41" s="133"/>
      <c r="S41" s="134"/>
      <c r="T41" s="106"/>
    </row>
    <row r="42" spans="1:20" ht="13.8" thickBot="1" x14ac:dyDescent="0.3">
      <c r="A42" s="105"/>
      <c r="B42" s="127"/>
      <c r="C42" s="105"/>
      <c r="D42" s="125"/>
      <c r="E42" s="198"/>
      <c r="F42" s="122"/>
      <c r="G42" s="122"/>
      <c r="H42" s="122"/>
      <c r="I42" s="122"/>
      <c r="J42" s="166"/>
      <c r="K42" s="129"/>
      <c r="L42" s="140"/>
      <c r="M42" s="129"/>
      <c r="N42" s="129"/>
      <c r="O42" s="129"/>
      <c r="P42" s="129"/>
      <c r="Q42" s="129"/>
      <c r="R42" s="133"/>
      <c r="S42" s="134"/>
      <c r="T42" s="106"/>
    </row>
    <row r="43" spans="1:20" ht="13.8" thickBot="1" x14ac:dyDescent="0.3">
      <c r="A43" s="105"/>
      <c r="B43" s="109"/>
      <c r="C43" s="105"/>
      <c r="D43" s="127"/>
      <c r="E43" s="199"/>
      <c r="F43" s="124"/>
      <c r="G43" s="124"/>
      <c r="H43" s="124"/>
      <c r="I43" s="124"/>
      <c r="J43" s="176"/>
      <c r="K43" s="149"/>
      <c r="L43" s="150"/>
      <c r="M43" s="149"/>
      <c r="N43" s="149"/>
      <c r="O43" s="149"/>
      <c r="P43" s="149"/>
      <c r="Q43" s="149"/>
      <c r="R43" s="147"/>
      <c r="S43" s="148"/>
      <c r="T43" s="106"/>
    </row>
    <row r="44" spans="1:20" ht="14.4" thickTop="1" thickBot="1" x14ac:dyDescent="0.3">
      <c r="A44" s="107"/>
      <c r="C44" s="107"/>
      <c r="D44" s="109"/>
      <c r="E44" s="108"/>
      <c r="F44" s="109"/>
      <c r="G44" s="109"/>
      <c r="H44" s="109"/>
      <c r="I44" s="109"/>
      <c r="J44" s="177"/>
      <c r="K44" s="110"/>
      <c r="L44" s="111"/>
      <c r="M44" s="110"/>
      <c r="N44" s="110"/>
      <c r="O44" s="110"/>
      <c r="P44" s="110"/>
      <c r="Q44" s="112"/>
      <c r="R44" s="112"/>
      <c r="S44" s="113"/>
      <c r="T44" s="114"/>
    </row>
    <row r="45" spans="1:20" ht="13.8" thickTop="1" x14ac:dyDescent="0.25"/>
  </sheetData>
  <mergeCells count="41">
    <mergeCell ref="V16:AA16"/>
    <mergeCell ref="F10:G10"/>
    <mergeCell ref="L25:N25"/>
    <mergeCell ref="L29:L30"/>
    <mergeCell ref="N29:O29"/>
    <mergeCell ref="N30:O30"/>
    <mergeCell ref="F12:G12"/>
    <mergeCell ref="J12:S12"/>
    <mergeCell ref="F13:G13"/>
    <mergeCell ref="N13:O13"/>
    <mergeCell ref="N10:O10"/>
    <mergeCell ref="P10:S10"/>
    <mergeCell ref="F11:G11"/>
    <mergeCell ref="W14:X14"/>
    <mergeCell ref="F18:F30"/>
    <mergeCell ref="G18:G30"/>
    <mergeCell ref="J18:R18"/>
    <mergeCell ref="N19:O19"/>
    <mergeCell ref="E7:G7"/>
    <mergeCell ref="J7:M7"/>
    <mergeCell ref="O7:S7"/>
    <mergeCell ref="F9:G9"/>
    <mergeCell ref="N9:O9"/>
    <mergeCell ref="P9:S9"/>
    <mergeCell ref="F8:G8"/>
    <mergeCell ref="J32:K32"/>
    <mergeCell ref="G39:H39"/>
    <mergeCell ref="E3:S4"/>
    <mergeCell ref="V3:AA3"/>
    <mergeCell ref="P19:R19"/>
    <mergeCell ref="N20:O20"/>
    <mergeCell ref="P20:R20"/>
    <mergeCell ref="J22:M22"/>
    <mergeCell ref="J24:K24"/>
    <mergeCell ref="L24:N24"/>
    <mergeCell ref="P13:S13"/>
    <mergeCell ref="F14:G14"/>
    <mergeCell ref="N14:O14"/>
    <mergeCell ref="P14:S14"/>
    <mergeCell ref="F15:G15"/>
    <mergeCell ref="E18:E3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7"/>
  <sheetViews>
    <sheetView workbookViewId="0">
      <selection activeCell="O10" sqref="O10"/>
    </sheetView>
  </sheetViews>
  <sheetFormatPr baseColWidth="10" defaultRowHeight="13.2" x14ac:dyDescent="0.25"/>
  <cols>
    <col min="1" max="1" width="2.109375" customWidth="1"/>
    <col min="2" max="2" width="1.88671875" customWidth="1"/>
    <col min="3" max="3" width="29.109375" customWidth="1"/>
    <col min="4" max="4" width="8.109375" style="1" customWidth="1"/>
    <col min="5" max="5" width="3.88671875" customWidth="1"/>
    <col min="6" max="6" width="8" customWidth="1"/>
    <col min="7" max="7" width="14.33203125" customWidth="1"/>
    <col min="8" max="8" width="6" customWidth="1"/>
    <col min="10" max="10" width="12.44140625" customWidth="1"/>
    <col min="11" max="11" width="7.33203125" customWidth="1"/>
    <col min="12" max="12" width="12.109375" customWidth="1"/>
    <col min="13" max="13" width="2.77734375" customWidth="1"/>
  </cols>
  <sheetData>
    <row r="1" spans="1:18" ht="13.8" thickBot="1" x14ac:dyDescent="0.3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.2" customHeight="1" thickBot="1" x14ac:dyDescent="0.3">
      <c r="A2" s="3"/>
      <c r="B2" s="30"/>
      <c r="C2" s="31"/>
      <c r="D2" s="32"/>
      <c r="E2" s="31"/>
      <c r="F2" s="31"/>
      <c r="G2" s="31"/>
      <c r="H2" s="31"/>
      <c r="I2" s="31"/>
      <c r="J2" s="31"/>
      <c r="K2" s="31"/>
      <c r="L2" s="31"/>
      <c r="M2" s="36"/>
      <c r="N2" s="3"/>
      <c r="O2" s="3"/>
      <c r="P2" s="3"/>
      <c r="Q2" s="3"/>
      <c r="R2" s="3"/>
    </row>
    <row r="3" spans="1:18" x14ac:dyDescent="0.25">
      <c r="A3" s="3"/>
      <c r="B3" s="23"/>
      <c r="C3" s="373" t="s">
        <v>38</v>
      </c>
      <c r="D3" s="374"/>
      <c r="E3" s="374"/>
      <c r="F3" s="374"/>
      <c r="G3" s="374"/>
      <c r="H3" s="374"/>
      <c r="I3" s="374"/>
      <c r="J3" s="374"/>
      <c r="K3" s="375"/>
      <c r="L3" s="27"/>
      <c r="M3" s="25"/>
      <c r="N3" s="3"/>
      <c r="O3" s="3"/>
      <c r="P3" s="3"/>
      <c r="Q3" s="3"/>
      <c r="R3" s="3"/>
    </row>
    <row r="4" spans="1:18" ht="13.8" thickBot="1" x14ac:dyDescent="0.3">
      <c r="A4" s="3"/>
      <c r="B4" s="23"/>
      <c r="C4" s="376"/>
      <c r="D4" s="377"/>
      <c r="E4" s="377"/>
      <c r="F4" s="377"/>
      <c r="G4" s="377"/>
      <c r="H4" s="377"/>
      <c r="I4" s="377"/>
      <c r="J4" s="377"/>
      <c r="K4" s="378"/>
      <c r="L4" s="27"/>
      <c r="M4" s="25"/>
      <c r="N4" s="3"/>
      <c r="O4" s="3"/>
      <c r="P4" s="3"/>
      <c r="Q4" s="3"/>
      <c r="R4" s="3"/>
    </row>
    <row r="5" spans="1:18" ht="14.4" customHeight="1" thickBot="1" x14ac:dyDescent="0.3">
      <c r="A5" s="3"/>
      <c r="B5" s="23"/>
      <c r="C5" s="47"/>
      <c r="D5" s="47"/>
      <c r="E5" s="47"/>
      <c r="F5" s="47"/>
      <c r="G5" s="47"/>
      <c r="H5" s="47"/>
      <c r="I5" s="47"/>
      <c r="J5" s="47"/>
      <c r="K5" s="47"/>
      <c r="L5" s="27"/>
      <c r="M5" s="25"/>
      <c r="N5" s="3"/>
      <c r="O5" s="3"/>
      <c r="P5" s="3"/>
      <c r="Q5" s="3"/>
      <c r="R5" s="3"/>
    </row>
    <row r="6" spans="1:18" ht="16.2" thickBot="1" x14ac:dyDescent="0.3">
      <c r="A6" s="3"/>
      <c r="B6" s="23"/>
      <c r="C6" s="379" t="s">
        <v>39</v>
      </c>
      <c r="D6" s="380"/>
      <c r="E6" s="47"/>
      <c r="F6" s="47"/>
      <c r="G6" s="47"/>
      <c r="H6" s="47"/>
      <c r="I6" s="47"/>
      <c r="J6" s="47"/>
      <c r="K6" s="47"/>
      <c r="L6" s="27"/>
      <c r="M6" s="25"/>
      <c r="N6" s="3"/>
      <c r="O6" s="3"/>
      <c r="P6" s="3"/>
      <c r="Q6" s="3"/>
      <c r="R6" s="3"/>
    </row>
    <row r="7" spans="1:18" ht="5.4" customHeight="1" thickBot="1" x14ac:dyDescent="0.3">
      <c r="A7" s="3"/>
      <c r="B7" s="23"/>
      <c r="C7" s="48"/>
      <c r="D7" s="48"/>
      <c r="E7" s="47"/>
      <c r="F7" s="47"/>
      <c r="G7" s="47"/>
      <c r="H7" s="47"/>
      <c r="I7" s="47"/>
      <c r="J7" s="47"/>
      <c r="K7" s="47"/>
      <c r="L7" s="27"/>
      <c r="M7" s="25"/>
      <c r="N7" s="3"/>
      <c r="O7" s="3"/>
      <c r="P7" s="3"/>
      <c r="Q7" s="3"/>
      <c r="R7" s="3"/>
    </row>
    <row r="8" spans="1:18" x14ac:dyDescent="0.25">
      <c r="A8" s="3"/>
      <c r="B8" s="23"/>
      <c r="C8" s="49"/>
      <c r="D8" s="50"/>
      <c r="E8" s="27"/>
      <c r="F8" s="27"/>
      <c r="G8" s="27"/>
      <c r="H8" s="27"/>
      <c r="I8" s="27"/>
      <c r="J8" s="27"/>
      <c r="K8" s="27"/>
      <c r="L8" s="27"/>
      <c r="M8" s="25"/>
      <c r="N8" s="3"/>
      <c r="O8" s="3"/>
      <c r="P8" s="3"/>
      <c r="Q8" s="3"/>
      <c r="R8" s="3"/>
    </row>
    <row r="9" spans="1:18" x14ac:dyDescent="0.25">
      <c r="A9" s="3"/>
      <c r="B9" s="23"/>
      <c r="C9" s="5" t="s">
        <v>40</v>
      </c>
      <c r="D9" s="51">
        <v>7.1</v>
      </c>
      <c r="E9" s="27"/>
      <c r="F9" s="27"/>
      <c r="G9" s="27"/>
      <c r="H9" s="26" t="s">
        <v>41</v>
      </c>
      <c r="I9" s="27" t="s">
        <v>42</v>
      </c>
      <c r="J9" s="27"/>
      <c r="K9" s="27"/>
      <c r="L9" s="27"/>
      <c r="M9" s="25"/>
      <c r="N9" s="3"/>
      <c r="O9" s="3"/>
      <c r="P9" s="3"/>
      <c r="Q9" s="3"/>
      <c r="R9" s="3"/>
    </row>
    <row r="10" spans="1:18" x14ac:dyDescent="0.25">
      <c r="A10" s="3"/>
      <c r="B10" s="23"/>
      <c r="C10" s="5" t="s">
        <v>43</v>
      </c>
      <c r="D10" s="51">
        <v>4</v>
      </c>
      <c r="E10" s="27"/>
      <c r="F10" s="27"/>
      <c r="G10" s="27" t="s">
        <v>44</v>
      </c>
      <c r="H10" s="27"/>
      <c r="I10" s="27"/>
      <c r="J10" s="27" t="s">
        <v>45</v>
      </c>
      <c r="K10" s="27"/>
      <c r="L10" s="27"/>
      <c r="M10" s="25"/>
      <c r="N10" s="3"/>
      <c r="O10" s="3"/>
      <c r="P10" s="3"/>
      <c r="Q10" s="3"/>
      <c r="R10" s="3"/>
    </row>
    <row r="11" spans="1:18" x14ac:dyDescent="0.25">
      <c r="A11" s="3"/>
      <c r="B11" s="23"/>
      <c r="C11" s="5" t="s">
        <v>46</v>
      </c>
      <c r="D11" s="51">
        <v>2</v>
      </c>
      <c r="E11" s="27"/>
      <c r="F11" s="27"/>
      <c r="G11" s="27"/>
      <c r="H11" s="27"/>
      <c r="I11" s="27"/>
      <c r="J11" s="27"/>
      <c r="K11" s="27"/>
      <c r="L11" s="27"/>
      <c r="M11" s="25"/>
      <c r="N11" s="3"/>
      <c r="O11" s="3"/>
      <c r="P11" s="3"/>
      <c r="Q11" s="3"/>
      <c r="R11" s="3"/>
    </row>
    <row r="12" spans="1:18" x14ac:dyDescent="0.25">
      <c r="A12" s="3"/>
      <c r="B12" s="23"/>
      <c r="C12" s="5" t="s">
        <v>47</v>
      </c>
      <c r="D12" s="51">
        <v>17.5</v>
      </c>
      <c r="E12" s="27"/>
      <c r="F12" s="27"/>
      <c r="G12" s="27"/>
      <c r="H12" s="27"/>
      <c r="I12" s="27"/>
      <c r="J12" s="27"/>
      <c r="K12" s="27"/>
      <c r="L12" s="27"/>
      <c r="M12" s="25"/>
      <c r="N12" s="3"/>
      <c r="O12" s="3"/>
      <c r="P12" s="3"/>
      <c r="Q12" s="3"/>
      <c r="R12" s="3"/>
    </row>
    <row r="13" spans="1:18" ht="13.8" thickBot="1" x14ac:dyDescent="0.3">
      <c r="A13" s="3"/>
      <c r="B13" s="23"/>
      <c r="C13" s="6" t="s">
        <v>48</v>
      </c>
      <c r="D13" s="52">
        <v>17.5</v>
      </c>
      <c r="E13" s="27"/>
      <c r="F13" s="27"/>
      <c r="G13" s="27" t="s">
        <v>49</v>
      </c>
      <c r="H13" s="27"/>
      <c r="I13" s="27" t="s">
        <v>50</v>
      </c>
      <c r="J13" s="27"/>
      <c r="K13" s="27"/>
      <c r="L13" s="27"/>
      <c r="M13" s="25"/>
      <c r="N13" s="3"/>
      <c r="O13" s="3"/>
      <c r="P13" s="3"/>
      <c r="Q13" s="3"/>
      <c r="R13" s="3"/>
    </row>
    <row r="14" spans="1:18" ht="7.8" customHeight="1" thickBot="1" x14ac:dyDescent="0.3">
      <c r="A14" s="3"/>
      <c r="B14" s="23"/>
      <c r="C14" s="26"/>
      <c r="D14" s="28"/>
      <c r="E14" s="27"/>
      <c r="F14" s="27"/>
      <c r="G14" s="27"/>
      <c r="H14" s="27"/>
      <c r="I14" s="27"/>
      <c r="J14" s="27"/>
      <c r="K14" s="27"/>
      <c r="L14" s="27"/>
      <c r="M14" s="25"/>
      <c r="N14" s="3"/>
      <c r="O14" s="3"/>
      <c r="P14" s="3"/>
      <c r="Q14" s="3"/>
      <c r="R14" s="3"/>
    </row>
    <row r="15" spans="1:18" ht="13.8" thickBot="1" x14ac:dyDescent="0.3">
      <c r="A15" s="3"/>
      <c r="B15" s="23"/>
      <c r="C15" s="324" t="s">
        <v>31</v>
      </c>
      <c r="D15" s="325"/>
      <c r="E15" s="326"/>
      <c r="F15" s="27"/>
      <c r="G15" s="324" t="s">
        <v>51</v>
      </c>
      <c r="H15" s="325"/>
      <c r="I15" s="325"/>
      <c r="J15" s="326"/>
      <c r="K15" s="27"/>
      <c r="L15" s="27"/>
      <c r="M15" s="25"/>
      <c r="N15" s="3"/>
      <c r="O15" s="3"/>
      <c r="P15" s="3"/>
      <c r="Q15" s="3"/>
      <c r="R15" s="3"/>
    </row>
    <row r="16" spans="1:18" ht="5.4" customHeight="1" thickBot="1" x14ac:dyDescent="0.3">
      <c r="A16" s="3"/>
      <c r="B16" s="23"/>
      <c r="C16" s="53"/>
      <c r="D16" s="53"/>
      <c r="E16" s="27"/>
      <c r="F16" s="27"/>
      <c r="G16" s="27"/>
      <c r="H16" s="27"/>
      <c r="I16" s="27"/>
      <c r="J16" s="27"/>
      <c r="K16" s="27"/>
      <c r="L16" s="27"/>
      <c r="M16" s="25"/>
      <c r="N16" s="3"/>
      <c r="O16" s="3"/>
      <c r="P16" s="3"/>
      <c r="Q16" s="3"/>
      <c r="R16" s="3"/>
    </row>
    <row r="17" spans="1:18" x14ac:dyDescent="0.25">
      <c r="A17" s="3"/>
      <c r="B17" s="23"/>
      <c r="C17" s="54" t="s">
        <v>29</v>
      </c>
      <c r="D17" s="55">
        <f>300/D9</f>
        <v>42.253521126760567</v>
      </c>
      <c r="E17" s="56" t="s">
        <v>16</v>
      </c>
      <c r="F17" s="27"/>
      <c r="G17" s="57" t="s">
        <v>72</v>
      </c>
      <c r="H17" s="58"/>
      <c r="I17" s="58"/>
      <c r="J17" s="59"/>
      <c r="K17" s="27"/>
      <c r="L17" s="27"/>
      <c r="M17" s="25"/>
      <c r="N17" s="3"/>
      <c r="O17" s="3"/>
      <c r="P17" s="3"/>
      <c r="Q17" s="3"/>
      <c r="R17" s="3"/>
    </row>
    <row r="18" spans="1:18" x14ac:dyDescent="0.25">
      <c r="A18" s="3"/>
      <c r="B18" s="23"/>
      <c r="C18" s="5" t="s">
        <v>52</v>
      </c>
      <c r="D18" s="60">
        <f>2*PI()*D10/D17</f>
        <v>0.59480820907966747</v>
      </c>
      <c r="E18" s="61" t="s">
        <v>53</v>
      </c>
      <c r="F18" s="27"/>
      <c r="G18" s="62" t="s">
        <v>54</v>
      </c>
      <c r="H18" s="63"/>
      <c r="I18" s="63"/>
      <c r="J18" s="64"/>
      <c r="K18" s="27"/>
      <c r="L18" s="27"/>
      <c r="M18" s="25"/>
      <c r="N18" s="3"/>
      <c r="O18" s="3"/>
      <c r="P18" s="3"/>
      <c r="Q18" s="3"/>
      <c r="R18" s="3"/>
    </row>
    <row r="19" spans="1:18" x14ac:dyDescent="0.25">
      <c r="A19" s="3"/>
      <c r="B19" s="23"/>
      <c r="C19" s="5" t="s">
        <v>55</v>
      </c>
      <c r="D19" s="60">
        <f>2*PI()*D11*1.052/D17</f>
        <v>0.31286911797590505</v>
      </c>
      <c r="E19" s="61" t="s">
        <v>53</v>
      </c>
      <c r="F19" s="27"/>
      <c r="G19" s="62" t="s">
        <v>121</v>
      </c>
      <c r="H19" s="63"/>
      <c r="I19" s="63"/>
      <c r="J19" s="64"/>
      <c r="K19" s="27"/>
      <c r="L19" s="27"/>
      <c r="M19" s="25"/>
      <c r="N19" s="3"/>
      <c r="O19" s="3"/>
      <c r="P19" s="3"/>
      <c r="Q19" s="3"/>
      <c r="R19" s="3"/>
    </row>
    <row r="20" spans="1:18" x14ac:dyDescent="0.25">
      <c r="A20" s="3"/>
      <c r="B20" s="23"/>
      <c r="C20" s="5" t="s">
        <v>56</v>
      </c>
      <c r="D20" s="60">
        <f>60*(LN(2*D10*1000/D12)-1)</f>
        <v>307.49975638395028</v>
      </c>
      <c r="E20" s="65" t="s">
        <v>27</v>
      </c>
      <c r="F20" s="27"/>
      <c r="G20" s="62" t="s">
        <v>73</v>
      </c>
      <c r="H20" s="63"/>
      <c r="I20" s="63"/>
      <c r="J20" s="64"/>
      <c r="K20" s="27"/>
      <c r="L20" s="27"/>
      <c r="M20" s="25"/>
      <c r="N20" s="3"/>
      <c r="O20" s="3"/>
      <c r="P20" s="3"/>
      <c r="Q20" s="3"/>
      <c r="R20" s="3"/>
    </row>
    <row r="21" spans="1:18" x14ac:dyDescent="0.25">
      <c r="A21" s="3"/>
      <c r="B21" s="23"/>
      <c r="C21" s="5" t="s">
        <v>57</v>
      </c>
      <c r="D21" s="60">
        <f>60*(LN(2*D11*1000/D13)-1)</f>
        <v>265.91092555035357</v>
      </c>
      <c r="E21" s="65" t="s">
        <v>27</v>
      </c>
      <c r="F21" s="27"/>
      <c r="G21" s="62" t="s">
        <v>74</v>
      </c>
      <c r="H21" s="63"/>
      <c r="I21" s="63"/>
      <c r="J21" s="64"/>
      <c r="K21" s="27"/>
      <c r="L21" s="27"/>
      <c r="M21" s="25"/>
      <c r="N21" s="3"/>
      <c r="O21" s="3"/>
      <c r="P21" s="3"/>
      <c r="Q21" s="3"/>
      <c r="R21" s="3"/>
    </row>
    <row r="22" spans="1:18" x14ac:dyDescent="0.25">
      <c r="A22" s="3"/>
      <c r="B22" s="23"/>
      <c r="C22" s="5" t="s">
        <v>58</v>
      </c>
      <c r="D22" s="60">
        <f>-D20*TAN(D18)</f>
        <v>-208.03648267287014</v>
      </c>
      <c r="E22" s="65" t="s">
        <v>27</v>
      </c>
      <c r="F22" s="27"/>
      <c r="G22" s="62" t="s">
        <v>75</v>
      </c>
      <c r="H22" s="63"/>
      <c r="I22" s="63"/>
      <c r="J22" s="64"/>
      <c r="K22" s="27"/>
      <c r="L22" s="27"/>
      <c r="M22" s="25"/>
      <c r="N22" s="3"/>
      <c r="O22" s="3"/>
      <c r="P22" s="3"/>
      <c r="Q22" s="3"/>
      <c r="R22" s="3"/>
    </row>
    <row r="23" spans="1:18" ht="13.8" thickBot="1" x14ac:dyDescent="0.3">
      <c r="A23" s="3"/>
      <c r="B23" s="23"/>
      <c r="C23" s="6" t="s">
        <v>59</v>
      </c>
      <c r="D23" s="66">
        <f>-D21/TAN(D19)</f>
        <v>-821.99661770443549</v>
      </c>
      <c r="E23" s="67" t="s">
        <v>27</v>
      </c>
      <c r="F23" s="27"/>
      <c r="G23" s="62" t="s">
        <v>60</v>
      </c>
      <c r="H23" s="63"/>
      <c r="I23" s="63"/>
      <c r="J23" s="64"/>
      <c r="K23" s="27"/>
      <c r="L23" s="27"/>
      <c r="M23" s="25"/>
      <c r="N23" s="3"/>
      <c r="O23" s="3"/>
      <c r="P23" s="3"/>
      <c r="Q23" s="3"/>
      <c r="R23" s="3"/>
    </row>
    <row r="24" spans="1:18" ht="8.4" customHeight="1" thickBot="1" x14ac:dyDescent="0.3">
      <c r="A24" s="3"/>
      <c r="B24" s="23"/>
      <c r="C24" s="27"/>
      <c r="D24" s="28"/>
      <c r="E24" s="27"/>
      <c r="F24" s="27"/>
      <c r="G24" s="68"/>
      <c r="H24" s="11"/>
      <c r="I24" s="11"/>
      <c r="J24" s="69"/>
      <c r="K24" s="27"/>
      <c r="L24" s="27"/>
      <c r="M24" s="25"/>
      <c r="N24" s="3"/>
      <c r="O24" s="3"/>
      <c r="P24" s="3"/>
      <c r="Q24" s="3"/>
      <c r="R24" s="3"/>
    </row>
    <row r="25" spans="1:18" ht="13.8" thickBot="1" x14ac:dyDescent="0.3">
      <c r="A25" s="3"/>
      <c r="B25" s="23"/>
      <c r="C25" s="367" t="s">
        <v>32</v>
      </c>
      <c r="D25" s="368"/>
      <c r="E25" s="369"/>
      <c r="F25" s="27"/>
      <c r="G25" s="68"/>
      <c r="H25" s="11"/>
      <c r="I25" s="11"/>
      <c r="J25" s="69"/>
      <c r="K25" s="27"/>
      <c r="L25" s="27"/>
      <c r="M25" s="25"/>
      <c r="N25" s="3"/>
      <c r="O25" s="3"/>
      <c r="P25" s="3"/>
      <c r="Q25" s="3"/>
      <c r="R25" s="3"/>
    </row>
    <row r="26" spans="1:18" ht="4.2" customHeight="1" thickBot="1" x14ac:dyDescent="0.3">
      <c r="A26" s="3"/>
      <c r="B26" s="23"/>
      <c r="C26" s="27"/>
      <c r="D26" s="28"/>
      <c r="E26" s="27"/>
      <c r="F26" s="27"/>
      <c r="G26" s="68"/>
      <c r="H26" s="11"/>
      <c r="I26" s="11"/>
      <c r="J26" s="69"/>
      <c r="K26" s="27"/>
      <c r="L26" s="27"/>
      <c r="M26" s="25"/>
      <c r="N26" s="3"/>
      <c r="O26" s="3"/>
      <c r="P26" s="3"/>
      <c r="Q26" s="3"/>
      <c r="R26" s="3"/>
    </row>
    <row r="27" spans="1:18" x14ac:dyDescent="0.25">
      <c r="A27" s="3"/>
      <c r="B27" s="23"/>
      <c r="C27" s="74" t="s">
        <v>61</v>
      </c>
      <c r="D27" s="76">
        <f>-(D23-D22)</f>
        <v>613.96013503156541</v>
      </c>
      <c r="E27" s="77" t="s">
        <v>27</v>
      </c>
      <c r="F27" s="27"/>
      <c r="G27" s="370" t="s">
        <v>70</v>
      </c>
      <c r="H27" s="371"/>
      <c r="I27" s="371"/>
      <c r="J27" s="372"/>
      <c r="K27" s="27"/>
      <c r="L27" s="27"/>
      <c r="M27" s="25"/>
      <c r="N27" s="3"/>
      <c r="O27" s="3"/>
      <c r="P27" s="3"/>
      <c r="Q27" s="3"/>
      <c r="R27" s="3"/>
    </row>
    <row r="28" spans="1:18" ht="13.8" thickBot="1" x14ac:dyDescent="0.3">
      <c r="A28" s="3"/>
      <c r="B28" s="23"/>
      <c r="C28" s="75" t="s">
        <v>71</v>
      </c>
      <c r="D28" s="78">
        <f>D27/2/PI()/D9</f>
        <v>13.762646528400165</v>
      </c>
      <c r="E28" s="79" t="s">
        <v>30</v>
      </c>
      <c r="F28" s="27"/>
      <c r="G28" s="70" t="s">
        <v>62</v>
      </c>
      <c r="H28" s="71"/>
      <c r="I28" s="71"/>
      <c r="J28" s="72"/>
      <c r="K28" s="27"/>
      <c r="L28" s="27"/>
      <c r="M28" s="25"/>
      <c r="N28" s="3"/>
      <c r="O28" s="3"/>
      <c r="P28" s="3"/>
      <c r="Q28" s="3"/>
      <c r="R28" s="3"/>
    </row>
    <row r="29" spans="1:18" ht="4.8" customHeight="1" thickBot="1" x14ac:dyDescent="0.3">
      <c r="A29" s="3"/>
      <c r="B29" s="23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5"/>
      <c r="N29" s="3"/>
      <c r="O29" s="3"/>
      <c r="P29" s="3"/>
      <c r="Q29" s="3"/>
      <c r="R29" s="3"/>
    </row>
    <row r="30" spans="1:18" x14ac:dyDescent="0.25">
      <c r="A30" s="3"/>
      <c r="B30" s="23"/>
      <c r="C30" s="80"/>
      <c r="D30" s="81"/>
      <c r="E30" s="82"/>
      <c r="F30" s="82"/>
      <c r="G30" s="82"/>
      <c r="H30" s="82"/>
      <c r="I30" s="82"/>
      <c r="J30" s="82"/>
      <c r="K30" s="82"/>
      <c r="L30" s="83"/>
      <c r="M30" s="25"/>
      <c r="N30" s="3"/>
      <c r="O30" s="3"/>
      <c r="P30" s="3"/>
      <c r="Q30" s="3"/>
      <c r="R30" s="3"/>
    </row>
    <row r="31" spans="1:18" x14ac:dyDescent="0.25">
      <c r="A31" s="3"/>
      <c r="B31" s="23"/>
      <c r="C31" s="84" t="s">
        <v>63</v>
      </c>
      <c r="D31" s="85"/>
      <c r="E31" s="86"/>
      <c r="F31" s="86"/>
      <c r="G31" s="86"/>
      <c r="H31" s="86"/>
      <c r="I31" s="86"/>
      <c r="J31" s="86"/>
      <c r="K31" s="86"/>
      <c r="L31" s="87"/>
      <c r="M31" s="25"/>
      <c r="N31" s="3"/>
      <c r="O31" s="3"/>
      <c r="P31" s="3"/>
      <c r="Q31" s="3"/>
      <c r="R31" s="3"/>
    </row>
    <row r="32" spans="1:18" x14ac:dyDescent="0.25">
      <c r="A32" s="3"/>
      <c r="B32" s="23"/>
      <c r="C32" s="84" t="s">
        <v>64</v>
      </c>
      <c r="D32" s="88">
        <f>D22</f>
        <v>-208.03648267287014</v>
      </c>
      <c r="E32" s="89" t="s">
        <v>27</v>
      </c>
      <c r="F32" s="86" t="s">
        <v>65</v>
      </c>
      <c r="G32" s="86"/>
      <c r="H32" s="86"/>
      <c r="I32" s="86"/>
      <c r="J32" s="86"/>
      <c r="K32" s="88">
        <f>D23</f>
        <v>-821.99661770443549</v>
      </c>
      <c r="L32" s="90" t="s">
        <v>69</v>
      </c>
      <c r="M32" s="73"/>
      <c r="N32" s="3"/>
      <c r="O32" s="3"/>
      <c r="P32" s="3"/>
      <c r="Q32" s="3"/>
      <c r="R32" s="3"/>
    </row>
    <row r="33" spans="1:18" x14ac:dyDescent="0.25">
      <c r="A33" s="3"/>
      <c r="B33" s="23"/>
      <c r="C33" s="84" t="s">
        <v>66</v>
      </c>
      <c r="D33" s="85"/>
      <c r="E33" s="86"/>
      <c r="F33" s="88">
        <f>D27</f>
        <v>613.96013503156541</v>
      </c>
      <c r="G33" s="91" t="s">
        <v>67</v>
      </c>
      <c r="H33" s="88">
        <f>D28</f>
        <v>13.762646528400165</v>
      </c>
      <c r="I33" s="89" t="s">
        <v>68</v>
      </c>
      <c r="J33" s="86"/>
      <c r="K33" s="86"/>
      <c r="L33" s="87"/>
      <c r="M33" s="25"/>
      <c r="O33" s="3"/>
      <c r="P33" s="3"/>
      <c r="Q33" s="3"/>
      <c r="R33" s="3"/>
    </row>
    <row r="34" spans="1:18" ht="13.8" thickBot="1" x14ac:dyDescent="0.3">
      <c r="A34" s="3"/>
      <c r="B34" s="23"/>
      <c r="C34" s="92"/>
      <c r="D34" s="93"/>
      <c r="E34" s="94"/>
      <c r="F34" s="94"/>
      <c r="G34" s="94"/>
      <c r="H34" s="94"/>
      <c r="I34" s="94"/>
      <c r="J34" s="94"/>
      <c r="K34" s="94"/>
      <c r="L34" s="95"/>
      <c r="M34" s="25"/>
      <c r="N34" s="3"/>
      <c r="O34" s="3"/>
      <c r="P34" s="3"/>
      <c r="Q34" s="3"/>
      <c r="R34" s="3"/>
    </row>
    <row r="35" spans="1:18" ht="13.8" thickBot="1" x14ac:dyDescent="0.3">
      <c r="A35" s="3"/>
      <c r="B35" s="37"/>
      <c r="C35" s="38"/>
      <c r="D35" s="42"/>
      <c r="E35" s="38"/>
      <c r="F35" s="38"/>
      <c r="G35" s="38"/>
      <c r="H35" s="38"/>
      <c r="I35" s="38"/>
      <c r="J35" s="38"/>
      <c r="K35" s="38"/>
      <c r="L35" s="38"/>
      <c r="M35" s="39"/>
      <c r="N35" s="3"/>
      <c r="O35" s="3"/>
      <c r="P35" s="3"/>
      <c r="Q35" s="3"/>
      <c r="R35" s="3"/>
    </row>
    <row r="36" spans="1:18" x14ac:dyDescent="0.2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1:18" x14ac:dyDescent="0.2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1:18" x14ac:dyDescent="0.2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1:18" x14ac:dyDescent="0.2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1:18" x14ac:dyDescent="0.2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1:18" x14ac:dyDescent="0.2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</row>
  </sheetData>
  <mergeCells count="6">
    <mergeCell ref="C25:E25"/>
    <mergeCell ref="G27:J27"/>
    <mergeCell ref="C3:K4"/>
    <mergeCell ref="C6:D6"/>
    <mergeCell ref="C15:E15"/>
    <mergeCell ref="G15:J15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DE TRAMPAS PARA DIPOLOS</vt:lpstr>
      <vt:lpstr>BOBINA PARA RADIADORES CORTOS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Usuario de Windows</cp:lastModifiedBy>
  <cp:lastPrinted>2018-11-03T17:59:33Z</cp:lastPrinted>
  <dcterms:created xsi:type="dcterms:W3CDTF">2011-03-29T15:30:00Z</dcterms:created>
  <dcterms:modified xsi:type="dcterms:W3CDTF">2020-12-18T19:51:08Z</dcterms:modified>
</cp:coreProperties>
</file>