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730"/>
  <workbookPr defaultThemeVersion="124226"/>
  <mc:AlternateContent xmlns:mc="http://schemas.openxmlformats.org/markup-compatibility/2006">
    <mc:Choice Requires="x15">
      <x15ac:absPath xmlns:x15ac="http://schemas.microsoft.com/office/spreadsheetml/2010/11/ac" url="L:\Calculadores\"/>
    </mc:Choice>
  </mc:AlternateContent>
  <bookViews>
    <workbookView xWindow="384" yWindow="0" windowWidth="14628" windowHeight="9336" activeTab="1" xr2:uid="{00000000-000D-0000-FFFF-FFFF00000000}"/>
  </bookViews>
  <sheets>
    <sheet name="Guia de manejo" sheetId="4" r:id="rId1"/>
    <sheet name="CALCULADOR " sheetId="1" r:id="rId2"/>
  </sheets>
  <calcPr calcId="171027"/>
</workbook>
</file>

<file path=xl/calcChain.xml><?xml version="1.0" encoding="utf-8"?>
<calcChain xmlns="http://schemas.openxmlformats.org/spreadsheetml/2006/main">
  <c r="G12" i="1" l="1"/>
  <c r="J41" i="1"/>
  <c r="H12" i="1"/>
  <c r="H22" i="1" s="1"/>
  <c r="K10" i="1"/>
  <c r="H30" i="1"/>
  <c r="G39" i="1" s="1"/>
  <c r="H16" i="1"/>
  <c r="H31" i="1"/>
  <c r="H33" i="1" s="1"/>
  <c r="H32" i="1" l="1"/>
  <c r="H34" i="1"/>
  <c r="I16" i="1"/>
  <c r="J16" i="1" s="1"/>
  <c r="M12" i="1" s="1"/>
  <c r="I12" i="1"/>
  <c r="G22" i="1"/>
  <c r="K27" i="1" s="1"/>
  <c r="O27" i="1" s="1"/>
  <c r="I39" i="1" s="1"/>
  <c r="H35" i="1" l="1"/>
  <c r="G37" i="1" s="1"/>
  <c r="K16" i="1"/>
  <c r="J12" i="1" s="1"/>
  <c r="I38" i="1"/>
  <c r="J31" i="1"/>
  <c r="J37" i="1" s="1"/>
  <c r="K12" i="1" l="1"/>
  <c r="M16" i="1"/>
  <c r="J32" i="1"/>
  <c r="J39" i="1" s="1"/>
  <c r="I22" i="1" l="1"/>
  <c r="K22" i="1" l="1"/>
  <c r="M22" i="1" s="1"/>
  <c r="J22" i="1"/>
</calcChain>
</file>

<file path=xl/sharedStrings.xml><?xml version="1.0" encoding="utf-8"?>
<sst xmlns="http://schemas.openxmlformats.org/spreadsheetml/2006/main" count="57" uniqueCount="52">
  <si>
    <t>Diametro interior de la bobina(cm)</t>
  </si>
  <si>
    <t>N</t>
  </si>
  <si>
    <t>Q</t>
  </si>
  <si>
    <t>Xlp</t>
  </si>
  <si>
    <t>Xcp</t>
  </si>
  <si>
    <t>Diametro de hilo de antena (mm)</t>
  </si>
  <si>
    <t>Zo hilo antena</t>
  </si>
  <si>
    <t>L/C</t>
  </si>
  <si>
    <t>β</t>
  </si>
  <si>
    <t>Diametro del hilo bobina (mm)</t>
  </si>
  <si>
    <t>Frecuencia superior (Mhz)</t>
  </si>
  <si>
    <t>Frecuencia inferior (MHz)</t>
  </si>
  <si>
    <t>Reactancia de L y C de la trampa  (en paralelo)</t>
  </si>
  <si>
    <r>
      <t>l</t>
    </r>
    <r>
      <rPr>
        <sz val="10"/>
        <rFont val="Arial"/>
        <family val="2"/>
      </rPr>
      <t xml:space="preserve"> </t>
    </r>
  </si>
  <si>
    <t xml:space="preserve"> βH</t>
  </si>
  <si>
    <t>X tope interior</t>
  </si>
  <si>
    <t>X exterior</t>
  </si>
  <si>
    <t>Long exterior</t>
  </si>
  <si>
    <t>mts</t>
  </si>
  <si>
    <t>Long.interior</t>
  </si>
  <si>
    <t xml:space="preserve"> (esp/cm)</t>
  </si>
  <si>
    <t>Long bobina(cm)</t>
  </si>
  <si>
    <t>x</t>
  </si>
  <si>
    <t>Long hilo (mts)</t>
  </si>
  <si>
    <t>Carga combinada de las XL y Xc de la trampa en paralelo =</t>
  </si>
  <si>
    <t>Ver nota</t>
  </si>
  <si>
    <t>ENTRADA DE DATOS</t>
  </si>
  <si>
    <r>
      <t xml:space="preserve">Tramo interior (1/4 de </t>
    </r>
    <r>
      <rPr>
        <sz val="10"/>
        <rFont val="Symbol"/>
        <family val="1"/>
        <charset val="2"/>
      </rPr>
      <t>l</t>
    </r>
    <r>
      <rPr>
        <sz val="10"/>
        <rFont val="Arial"/>
        <family val="2"/>
      </rPr>
      <t>)</t>
    </r>
  </si>
  <si>
    <t>W</t>
  </si>
  <si>
    <r>
      <t>m</t>
    </r>
    <r>
      <rPr>
        <sz val="10"/>
        <rFont val="Arial"/>
        <family val="2"/>
      </rPr>
      <t>H</t>
    </r>
  </si>
  <si>
    <t>Valores de la trampa resonante a</t>
  </si>
  <si>
    <t>MHz</t>
  </si>
  <si>
    <r>
      <t>L (</t>
    </r>
    <r>
      <rPr>
        <b/>
        <sz val="10"/>
        <color indexed="10"/>
        <rFont val="Symbol"/>
        <family val="1"/>
        <charset val="2"/>
      </rPr>
      <t>m</t>
    </r>
    <r>
      <rPr>
        <b/>
        <sz val="10"/>
        <color indexed="10"/>
        <rFont val="Arial"/>
        <family val="2"/>
      </rPr>
      <t>H)</t>
    </r>
  </si>
  <si>
    <r>
      <t>C (</t>
    </r>
    <r>
      <rPr>
        <b/>
        <sz val="10"/>
        <color indexed="10"/>
        <rFont val="Symbol"/>
        <family val="1"/>
        <charset val="2"/>
      </rPr>
      <t>r</t>
    </r>
    <r>
      <rPr>
        <b/>
        <sz val="10"/>
        <color indexed="10"/>
        <rFont val="Arial"/>
        <family val="2"/>
      </rPr>
      <t>F)</t>
    </r>
  </si>
  <si>
    <t>X</t>
  </si>
  <si>
    <t>int</t>
  </si>
  <si>
    <r>
      <t>X</t>
    </r>
    <r>
      <rPr>
        <sz val="8"/>
        <rFont val="Arial"/>
        <family val="2"/>
      </rPr>
      <t>bob</t>
    </r>
    <r>
      <rPr>
        <sz val="10"/>
        <rFont val="Arial"/>
        <family val="2"/>
      </rPr>
      <t xml:space="preserve"> </t>
    </r>
  </si>
  <si>
    <t>Tope interior</t>
  </si>
  <si>
    <r>
      <t xml:space="preserve"> R pérdidas (</t>
    </r>
    <r>
      <rPr>
        <sz val="10"/>
        <rFont val="Symbol"/>
        <family val="1"/>
        <charset val="2"/>
      </rPr>
      <t>W)</t>
    </r>
  </si>
  <si>
    <t xml:space="preserve">              'X=(Xint+(-Xbob))'</t>
  </si>
  <si>
    <t>CALCULO DE TRAMPAS DE ONDA PARA DIPOLO 2 BANDAS</t>
  </si>
  <si>
    <t>Z (R) en resonancia</t>
  </si>
  <si>
    <t>Long/Diám</t>
  </si>
  <si>
    <t>R paralelo</t>
  </si>
  <si>
    <t>Xl serie</t>
  </si>
  <si>
    <t>R serie</t>
  </si>
  <si>
    <t>Diseño bobina de hilo</t>
  </si>
  <si>
    <t>Cálculo del tramo exterior</t>
  </si>
  <si>
    <r>
      <t xml:space="preserve">W </t>
    </r>
    <r>
      <rPr>
        <sz val="10"/>
        <rFont val="Arial"/>
        <family val="2"/>
      </rPr>
      <t>correspondientes a</t>
    </r>
    <r>
      <rPr>
        <sz val="10"/>
        <rFont val="Symbol"/>
        <family val="1"/>
        <charset val="2"/>
      </rPr>
      <t xml:space="preserve"> </t>
    </r>
  </si>
  <si>
    <t>Radio de la forma (cm)</t>
  </si>
  <si>
    <r>
      <t>Reactancia de la bobina(</t>
    </r>
    <r>
      <rPr>
        <i/>
        <sz val="10"/>
        <color rgb="FFFF0000"/>
        <rFont val="Symbol"/>
        <family val="1"/>
        <charset val="2"/>
      </rPr>
      <t>W)</t>
    </r>
  </si>
  <si>
    <t>Actuando como carga para 3'7 MHz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</si>
</sst>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8" x14ac:knownFonts="1">
    <font>
      <sz val="10"/>
      <name val="Arial"/>
    </font>
    <font>
      <sz val="10"/>
      <name val="Symbol"/>
      <family val="1"/>
      <charset val="2"/>
    </font>
    <font>
      <sz val="8"/>
      <name val="Arial"/>
      <family val="2"/>
    </font>
    <font>
      <b/>
      <sz val="10"/>
      <name val="Arial"/>
      <family val="2"/>
    </font>
    <font>
      <sz val="10"/>
      <name val="Arial"/>
      <family val="2"/>
    </font>
    <font>
      <b/>
      <sz val="10"/>
      <color indexed="10"/>
      <name val="Arial"/>
      <family val="2"/>
    </font>
    <font>
      <sz val="10"/>
      <color indexed="12"/>
      <name val="Arial"/>
      <family val="2"/>
    </font>
    <font>
      <b/>
      <sz val="10"/>
      <color indexed="10"/>
      <name val="Arial"/>
      <family val="2"/>
    </font>
    <font>
      <b/>
      <i/>
      <sz val="14"/>
      <name val="Arial"/>
      <family val="2"/>
    </font>
    <font>
      <sz val="10"/>
      <color indexed="10"/>
      <name val="Arial"/>
      <family val="2"/>
    </font>
    <font>
      <b/>
      <i/>
      <sz val="14"/>
      <color indexed="10"/>
      <name val="Arial"/>
      <family val="2"/>
    </font>
    <font>
      <b/>
      <i/>
      <sz val="14"/>
      <color indexed="9"/>
      <name val="Arial"/>
      <family val="2"/>
    </font>
    <font>
      <b/>
      <sz val="10"/>
      <color indexed="10"/>
      <name val="Symbol"/>
      <family val="1"/>
      <charset val="2"/>
    </font>
    <font>
      <sz val="9"/>
      <name val="Arial"/>
      <family val="2"/>
    </font>
    <font>
      <b/>
      <sz val="10"/>
      <color theme="5" tint="-0.499984740745262"/>
      <name val="Arial"/>
      <family val="2"/>
    </font>
    <font>
      <sz val="10"/>
      <color indexed="12"/>
      <name val="Arial"/>
      <family val="2"/>
    </font>
    <font>
      <i/>
      <sz val="10"/>
      <color rgb="FFFF0000"/>
      <name val="Arial"/>
      <family val="2"/>
    </font>
    <font>
      <i/>
      <sz val="10"/>
      <color rgb="FFFF0000"/>
      <name val="Symbol"/>
      <family val="1"/>
      <charset val="2"/>
    </font>
  </fonts>
  <fills count="13">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57"/>
        <bgColor indexed="64"/>
      </patternFill>
    </fill>
    <fill>
      <patternFill patternType="solid">
        <fgColor indexed="43"/>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0"/>
        <bgColor indexed="64"/>
      </patternFill>
    </fill>
  </fills>
  <borders count="45">
    <border>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s>
  <cellStyleXfs count="1">
    <xf numFmtId="0" fontId="0" fillId="0" borderId="0"/>
  </cellStyleXfs>
  <cellXfs count="243">
    <xf numFmtId="0" fontId="0" fillId="0" borderId="0" xfId="0"/>
    <xf numFmtId="0" fontId="0" fillId="0" borderId="0" xfId="0" applyAlignment="1">
      <alignment horizontal="right"/>
    </xf>
    <xf numFmtId="2" fontId="0" fillId="0" borderId="0" xfId="0" applyNumberFormat="1"/>
    <xf numFmtId="4" fontId="0" fillId="0" borderId="0" xfId="0" applyNumberFormat="1"/>
    <xf numFmtId="2" fontId="7" fillId="3" borderId="3" xfId="0" applyNumberFormat="1" applyFont="1" applyFill="1" applyBorder="1" applyAlignment="1">
      <alignment horizontal="center"/>
    </xf>
    <xf numFmtId="0" fontId="0" fillId="2" borderId="0" xfId="0" applyFill="1" applyAlignment="1">
      <alignment horizontal="right"/>
    </xf>
    <xf numFmtId="0" fontId="0" fillId="2" borderId="0" xfId="0" applyFill="1"/>
    <xf numFmtId="2" fontId="0" fillId="2" borderId="0" xfId="0" applyNumberFormat="1" applyFill="1"/>
    <xf numFmtId="4" fontId="0" fillId="2" borderId="0" xfId="0" applyNumberFormat="1" applyFill="1"/>
    <xf numFmtId="0" fontId="0" fillId="2" borderId="5" xfId="0" applyFill="1" applyBorder="1" applyAlignment="1">
      <alignment horizontal="right"/>
    </xf>
    <xf numFmtId="0" fontId="0" fillId="2" borderId="6" xfId="0" applyFill="1" applyBorder="1" applyAlignment="1">
      <alignment horizontal="right"/>
    </xf>
    <xf numFmtId="2" fontId="0" fillId="2" borderId="0" xfId="0" applyNumberFormat="1" applyFill="1" applyBorder="1"/>
    <xf numFmtId="2" fontId="0" fillId="2" borderId="9" xfId="0" applyNumberFormat="1" applyFill="1" applyBorder="1"/>
    <xf numFmtId="4" fontId="0" fillId="2" borderId="8" xfId="0" applyNumberFormat="1" applyFill="1" applyBorder="1" applyAlignment="1">
      <alignment horizontal="right"/>
    </xf>
    <xf numFmtId="2" fontId="0" fillId="2" borderId="10" xfId="0" applyNumberFormat="1" applyFill="1" applyBorder="1"/>
    <xf numFmtId="0" fontId="0" fillId="2" borderId="0" xfId="0" applyFill="1" applyBorder="1"/>
    <xf numFmtId="2" fontId="9" fillId="2" borderId="0" xfId="0" applyNumberFormat="1" applyFont="1" applyFill="1" applyAlignment="1">
      <alignment horizontal="left"/>
    </xf>
    <xf numFmtId="2" fontId="9" fillId="0" borderId="0" xfId="0" applyNumberFormat="1" applyFont="1" applyAlignment="1">
      <alignment horizontal="left"/>
    </xf>
    <xf numFmtId="4" fontId="0" fillId="2" borderId="7" xfId="0" applyNumberFormat="1" applyFill="1" applyBorder="1" applyAlignment="1">
      <alignment horizontal="center"/>
    </xf>
    <xf numFmtId="3" fontId="0" fillId="2" borderId="3" xfId="0" applyNumberFormat="1" applyFill="1" applyBorder="1" applyAlignment="1">
      <alignment horizontal="center"/>
    </xf>
    <xf numFmtId="0" fontId="0" fillId="2" borderId="0" xfId="0" applyFill="1" applyAlignment="1">
      <alignment horizontal="left"/>
    </xf>
    <xf numFmtId="0" fontId="0" fillId="0" borderId="0" xfId="0" applyAlignment="1">
      <alignment horizontal="left"/>
    </xf>
    <xf numFmtId="2" fontId="5" fillId="3" borderId="11" xfId="0" applyNumberFormat="1" applyFont="1" applyFill="1" applyBorder="1" applyAlignment="1">
      <alignment horizontal="center"/>
    </xf>
    <xf numFmtId="2" fontId="4" fillId="2" borderId="4" xfId="0" applyNumberFormat="1" applyFont="1" applyFill="1" applyBorder="1" applyAlignment="1">
      <alignment horizontal="center" vertical="justify"/>
    </xf>
    <xf numFmtId="0" fontId="0" fillId="2" borderId="0" xfId="0" applyFill="1" applyBorder="1" applyAlignment="1">
      <alignment horizontal="right"/>
    </xf>
    <xf numFmtId="4" fontId="0" fillId="2" borderId="0" xfId="0" applyNumberFormat="1" applyFill="1" applyBorder="1"/>
    <xf numFmtId="4" fontId="5" fillId="2" borderId="3" xfId="0" applyNumberFormat="1" applyFont="1" applyFill="1" applyBorder="1" applyAlignment="1">
      <alignment horizontal="center"/>
    </xf>
    <xf numFmtId="0" fontId="1" fillId="4" borderId="13" xfId="0" applyFont="1" applyFill="1" applyBorder="1" applyAlignment="1">
      <alignment horizontal="left" vertical="center"/>
    </xf>
    <xf numFmtId="2" fontId="1" fillId="4" borderId="12" xfId="0" applyNumberFormat="1" applyFont="1" applyFill="1" applyBorder="1" applyAlignment="1">
      <alignment horizontal="left" vertical="center"/>
    </xf>
    <xf numFmtId="2" fontId="0" fillId="2" borderId="14" xfId="0" applyNumberFormat="1" applyFill="1" applyBorder="1" applyAlignment="1">
      <alignment horizontal="center"/>
    </xf>
    <xf numFmtId="1" fontId="0" fillId="2" borderId="3" xfId="0" applyNumberFormat="1" applyFill="1" applyBorder="1" applyAlignment="1">
      <alignment horizontal="center"/>
    </xf>
    <xf numFmtId="2" fontId="9" fillId="5" borderId="0" xfId="0" applyNumberFormat="1" applyFont="1" applyFill="1" applyBorder="1" applyAlignment="1">
      <alignment horizontal="left"/>
    </xf>
    <xf numFmtId="0" fontId="0" fillId="5" borderId="15" xfId="0" applyFill="1" applyBorder="1"/>
    <xf numFmtId="0" fontId="8" fillId="5" borderId="0" xfId="0" applyFont="1" applyFill="1" applyBorder="1" applyAlignment="1">
      <alignment horizontal="center" vertical="center"/>
    </xf>
    <xf numFmtId="2" fontId="10" fillId="5" borderId="0" xfId="0" applyNumberFormat="1" applyFont="1" applyFill="1" applyBorder="1" applyAlignment="1">
      <alignment horizontal="left" vertical="center"/>
    </xf>
    <xf numFmtId="0" fontId="0" fillId="5" borderId="0" xfId="0" applyFill="1" applyBorder="1" applyAlignment="1">
      <alignment horizontal="left"/>
    </xf>
    <xf numFmtId="0" fontId="0" fillId="5" borderId="0" xfId="0" applyFill="1" applyBorder="1" applyAlignment="1">
      <alignment horizontal="right"/>
    </xf>
    <xf numFmtId="0" fontId="0" fillId="5" borderId="0" xfId="0" applyFill="1" applyBorder="1"/>
    <xf numFmtId="2" fontId="0" fillId="5" borderId="0" xfId="0" applyNumberFormat="1" applyFill="1" applyBorder="1"/>
    <xf numFmtId="4" fontId="0" fillId="5" borderId="0" xfId="0" applyNumberFormat="1" applyFill="1" applyBorder="1"/>
    <xf numFmtId="0" fontId="0" fillId="5" borderId="17" xfId="0" applyFill="1" applyBorder="1"/>
    <xf numFmtId="2" fontId="0" fillId="5" borderId="18" xfId="0" applyNumberFormat="1" applyFill="1" applyBorder="1"/>
    <xf numFmtId="4" fontId="0" fillId="5" borderId="18" xfId="0" applyNumberFormat="1" applyFill="1" applyBorder="1"/>
    <xf numFmtId="2" fontId="9" fillId="5" borderId="18" xfId="0" applyNumberFormat="1" applyFont="1" applyFill="1" applyBorder="1" applyAlignment="1">
      <alignment horizontal="left"/>
    </xf>
    <xf numFmtId="0" fontId="0" fillId="5" borderId="18" xfId="0" applyFill="1" applyBorder="1" applyAlignment="1">
      <alignment horizontal="left"/>
    </xf>
    <xf numFmtId="0" fontId="0" fillId="5" borderId="20" xfId="0" applyFill="1" applyBorder="1"/>
    <xf numFmtId="2" fontId="9" fillId="5" borderId="21" xfId="0" applyNumberFormat="1" applyFont="1" applyFill="1" applyBorder="1" applyAlignment="1">
      <alignment horizontal="left"/>
    </xf>
    <xf numFmtId="0" fontId="0" fillId="5" borderId="21" xfId="0" applyFill="1" applyBorder="1" applyAlignment="1">
      <alignment horizontal="left"/>
    </xf>
    <xf numFmtId="2" fontId="0" fillId="5" borderId="21" xfId="0" applyNumberFormat="1" applyFill="1" applyBorder="1"/>
    <xf numFmtId="4" fontId="0" fillId="5" borderId="21" xfId="0" applyNumberFormat="1" applyFill="1" applyBorder="1"/>
    <xf numFmtId="4" fontId="5" fillId="2" borderId="14" xfId="0" applyNumberFormat="1" applyFont="1" applyFill="1" applyBorder="1" applyAlignment="1">
      <alignment horizontal="center"/>
    </xf>
    <xf numFmtId="4" fontId="5" fillId="3" borderId="2" xfId="0" applyNumberFormat="1" applyFont="1" applyFill="1" applyBorder="1" applyAlignment="1">
      <alignment horizontal="right"/>
    </xf>
    <xf numFmtId="2" fontId="7" fillId="3" borderId="7" xfId="0" applyNumberFormat="1" applyFont="1" applyFill="1" applyBorder="1" applyAlignment="1">
      <alignment horizontal="center"/>
    </xf>
    <xf numFmtId="0" fontId="0" fillId="5" borderId="26" xfId="0" applyFill="1" applyBorder="1"/>
    <xf numFmtId="0" fontId="0" fillId="5" borderId="27" xfId="0" applyFill="1" applyBorder="1" applyAlignment="1">
      <alignment horizontal="right"/>
    </xf>
    <xf numFmtId="0" fontId="0" fillId="5" borderId="27" xfId="0" applyFill="1" applyBorder="1"/>
    <xf numFmtId="2" fontId="0" fillId="5" borderId="27" xfId="0" applyNumberFormat="1" applyFill="1" applyBorder="1"/>
    <xf numFmtId="4" fontId="0" fillId="5" borderId="27" xfId="0" applyNumberFormat="1" applyFill="1" applyBorder="1"/>
    <xf numFmtId="2" fontId="9" fillId="5" borderId="27" xfId="0" applyNumberFormat="1" applyFont="1" applyFill="1" applyBorder="1" applyAlignment="1">
      <alignment horizontal="left"/>
    </xf>
    <xf numFmtId="0" fontId="0" fillId="5" borderId="27" xfId="0" applyFill="1" applyBorder="1" applyAlignment="1">
      <alignment horizontal="left"/>
    </xf>
    <xf numFmtId="0" fontId="0" fillId="5" borderId="28" xfId="0" applyFill="1" applyBorder="1"/>
    <xf numFmtId="0" fontId="0" fillId="5" borderId="29" xfId="0" applyFill="1" applyBorder="1"/>
    <xf numFmtId="0" fontId="0" fillId="5" borderId="30" xfId="0" applyFill="1" applyBorder="1"/>
    <xf numFmtId="0" fontId="0" fillId="5" borderId="31" xfId="0" applyFill="1" applyBorder="1"/>
    <xf numFmtId="0" fontId="0" fillId="5" borderId="32" xfId="0" applyFill="1" applyBorder="1" applyAlignment="1">
      <alignment horizontal="right"/>
    </xf>
    <xf numFmtId="0" fontId="0" fillId="5" borderId="32" xfId="0" applyFill="1" applyBorder="1"/>
    <xf numFmtId="2" fontId="0" fillId="5" borderId="32" xfId="0" applyNumberFormat="1" applyFill="1" applyBorder="1"/>
    <xf numFmtId="4" fontId="0" fillId="5" borderId="32" xfId="0" applyNumberFormat="1" applyFill="1" applyBorder="1"/>
    <xf numFmtId="2" fontId="0" fillId="2" borderId="32" xfId="0" applyNumberFormat="1" applyFill="1" applyBorder="1"/>
    <xf numFmtId="2" fontId="9" fillId="5" borderId="32" xfId="0" applyNumberFormat="1" applyFont="1" applyFill="1" applyBorder="1" applyAlignment="1">
      <alignment horizontal="left"/>
    </xf>
    <xf numFmtId="0" fontId="0" fillId="5" borderId="32" xfId="0" applyFill="1" applyBorder="1" applyAlignment="1">
      <alignment horizontal="left"/>
    </xf>
    <xf numFmtId="0" fontId="0" fillId="5" borderId="33" xfId="0" applyFill="1" applyBorder="1"/>
    <xf numFmtId="0" fontId="0" fillId="5" borderId="19" xfId="0" applyFill="1" applyBorder="1" applyAlignment="1">
      <alignment horizontal="left"/>
    </xf>
    <xf numFmtId="0" fontId="0" fillId="5" borderId="22" xfId="0" applyFill="1" applyBorder="1" applyAlignment="1">
      <alignment horizontal="left"/>
    </xf>
    <xf numFmtId="2" fontId="0" fillId="9" borderId="0" xfId="0" applyNumberFormat="1" applyFill="1" applyBorder="1"/>
    <xf numFmtId="0" fontId="1" fillId="9" borderId="16" xfId="0" applyFont="1" applyFill="1" applyBorder="1" applyAlignment="1">
      <alignment horizontal="left" vertical="center"/>
    </xf>
    <xf numFmtId="0" fontId="0" fillId="9" borderId="16" xfId="0" applyFill="1" applyBorder="1" applyAlignment="1">
      <alignment horizontal="left"/>
    </xf>
    <xf numFmtId="2" fontId="0" fillId="9" borderId="16" xfId="0" applyNumberFormat="1" applyFill="1" applyBorder="1" applyAlignment="1">
      <alignment horizontal="center"/>
    </xf>
    <xf numFmtId="0" fontId="3" fillId="9" borderId="16" xfId="0" applyFont="1" applyFill="1" applyBorder="1" applyAlignment="1">
      <alignment horizontal="center"/>
    </xf>
    <xf numFmtId="2" fontId="3" fillId="9" borderId="16" xfId="0" applyNumberFormat="1" applyFont="1" applyFill="1" applyBorder="1" applyAlignment="1">
      <alignment horizontal="left"/>
    </xf>
    <xf numFmtId="2" fontId="3" fillId="10" borderId="12" xfId="0" applyNumberFormat="1" applyFont="1" applyFill="1" applyBorder="1" applyAlignment="1"/>
    <xf numFmtId="2" fontId="1" fillId="2" borderId="23" xfId="0" applyNumberFormat="1" applyFont="1" applyFill="1" applyBorder="1" applyAlignment="1">
      <alignment horizontal="center"/>
    </xf>
    <xf numFmtId="0" fontId="0" fillId="11" borderId="17" xfId="0" applyFill="1" applyBorder="1"/>
    <xf numFmtId="0" fontId="0" fillId="11" borderId="18" xfId="0" applyFill="1" applyBorder="1" applyAlignment="1">
      <alignment horizontal="right"/>
    </xf>
    <xf numFmtId="0" fontId="0" fillId="11" borderId="18" xfId="0" applyFill="1" applyBorder="1"/>
    <xf numFmtId="2" fontId="0" fillId="11" borderId="18" xfId="0" applyNumberFormat="1" applyFill="1" applyBorder="1"/>
    <xf numFmtId="4" fontId="0" fillId="11" borderId="18" xfId="0" applyNumberFormat="1" applyFill="1" applyBorder="1"/>
    <xf numFmtId="0" fontId="0" fillId="11" borderId="0" xfId="0" applyFill="1" applyBorder="1"/>
    <xf numFmtId="0" fontId="0" fillId="11" borderId="21" xfId="0" applyFill="1" applyBorder="1"/>
    <xf numFmtId="0" fontId="0" fillId="11" borderId="15" xfId="0" applyFill="1" applyBorder="1"/>
    <xf numFmtId="0" fontId="0" fillId="11" borderId="0" xfId="0" applyFill="1" applyBorder="1" applyAlignment="1">
      <alignment horizontal="right"/>
    </xf>
    <xf numFmtId="0" fontId="0" fillId="11" borderId="20" xfId="0" applyFill="1" applyBorder="1"/>
    <xf numFmtId="0" fontId="0" fillId="11" borderId="21" xfId="0" applyFill="1" applyBorder="1" applyAlignment="1">
      <alignment horizontal="right"/>
    </xf>
    <xf numFmtId="2" fontId="4" fillId="11" borderId="0" xfId="0" applyNumberFormat="1" applyFont="1" applyFill="1" applyBorder="1" applyAlignment="1">
      <alignment horizontal="right"/>
    </xf>
    <xf numFmtId="2" fontId="0" fillId="11" borderId="0" xfId="0" applyNumberFormat="1" applyFill="1" applyBorder="1"/>
    <xf numFmtId="4" fontId="4" fillId="11" borderId="0" xfId="0" applyNumberFormat="1" applyFont="1" applyFill="1" applyBorder="1" applyAlignment="1">
      <alignment horizontal="left"/>
    </xf>
    <xf numFmtId="2" fontId="4" fillId="11" borderId="0" xfId="0" applyNumberFormat="1" applyFont="1" applyFill="1" applyBorder="1"/>
    <xf numFmtId="2" fontId="3" fillId="11" borderId="0" xfId="0" applyNumberFormat="1" applyFont="1" applyFill="1" applyBorder="1"/>
    <xf numFmtId="2" fontId="9" fillId="11" borderId="0" xfId="0" applyNumberFormat="1" applyFont="1" applyFill="1" applyBorder="1" applyAlignment="1">
      <alignment horizontal="left"/>
    </xf>
    <xf numFmtId="0" fontId="0" fillId="11" borderId="0" xfId="0" applyFill="1" applyBorder="1" applyAlignment="1">
      <alignment horizontal="left"/>
    </xf>
    <xf numFmtId="0" fontId="0" fillId="11" borderId="16" xfId="0" applyFill="1" applyBorder="1" applyAlignment="1">
      <alignment horizontal="left"/>
    </xf>
    <xf numFmtId="4" fontId="1" fillId="11" borderId="0" xfId="0" applyNumberFormat="1" applyFont="1" applyFill="1" applyBorder="1" applyAlignment="1">
      <alignment horizontal="center"/>
    </xf>
    <xf numFmtId="2" fontId="0" fillId="11" borderId="0" xfId="0" applyNumberFormat="1" applyFill="1" applyBorder="1" applyAlignment="1"/>
    <xf numFmtId="2" fontId="1" fillId="11" borderId="0" xfId="0" applyNumberFormat="1" applyFont="1" applyFill="1" applyBorder="1"/>
    <xf numFmtId="2" fontId="5" fillId="11" borderId="0" xfId="0" applyNumberFormat="1" applyFont="1" applyFill="1" applyBorder="1"/>
    <xf numFmtId="2" fontId="4" fillId="11" borderId="0" xfId="0" applyNumberFormat="1" applyFont="1" applyFill="1" applyBorder="1" applyAlignment="1">
      <alignment horizontal="left"/>
    </xf>
    <xf numFmtId="4" fontId="0" fillId="11" borderId="0" xfId="0" applyNumberFormat="1" applyFill="1" applyBorder="1"/>
    <xf numFmtId="2" fontId="13" fillId="11" borderId="0" xfId="0" applyNumberFormat="1" applyFont="1" applyFill="1" applyBorder="1" applyAlignment="1">
      <alignment horizontal="left"/>
    </xf>
    <xf numFmtId="4" fontId="4" fillId="11" borderId="0" xfId="0" applyNumberFormat="1" applyFont="1" applyFill="1" applyBorder="1" applyAlignment="1">
      <alignment horizontal="center"/>
    </xf>
    <xf numFmtId="2" fontId="4" fillId="11" borderId="0" xfId="0" applyNumberFormat="1" applyFont="1" applyFill="1" applyBorder="1" applyAlignment="1"/>
    <xf numFmtId="2" fontId="0" fillId="11" borderId="0" xfId="0" applyNumberFormat="1" applyFill="1"/>
    <xf numFmtId="4" fontId="0" fillId="11" borderId="0" xfId="0" applyNumberFormat="1" applyFill="1"/>
    <xf numFmtId="2" fontId="4" fillId="11" borderId="0" xfId="0" quotePrefix="1" applyNumberFormat="1" applyFont="1" applyFill="1" applyBorder="1" applyAlignment="1"/>
    <xf numFmtId="4" fontId="3" fillId="11" borderId="0" xfId="0" applyNumberFormat="1" applyFont="1" applyFill="1" applyBorder="1"/>
    <xf numFmtId="2" fontId="0" fillId="11" borderId="0" xfId="0" applyNumberFormat="1" applyFill="1" applyBorder="1" applyAlignment="1">
      <alignment horizontal="center"/>
    </xf>
    <xf numFmtId="2" fontId="9" fillId="11" borderId="21" xfId="0" applyNumberFormat="1" applyFont="1" applyFill="1" applyBorder="1" applyAlignment="1">
      <alignment horizontal="left"/>
    </xf>
    <xf numFmtId="0" fontId="0" fillId="11" borderId="21" xfId="0" applyFill="1" applyBorder="1" applyAlignment="1">
      <alignment horizontal="left"/>
    </xf>
    <xf numFmtId="0" fontId="0" fillId="11" borderId="22" xfId="0" applyFill="1" applyBorder="1" applyAlignment="1">
      <alignment horizontal="left"/>
    </xf>
    <xf numFmtId="2" fontId="0" fillId="11" borderId="21" xfId="0" applyNumberFormat="1" applyFill="1" applyBorder="1"/>
    <xf numFmtId="4" fontId="0" fillId="11" borderId="21" xfId="0" applyNumberFormat="1" applyFill="1" applyBorder="1"/>
    <xf numFmtId="2" fontId="0" fillId="11" borderId="21" xfId="0" applyNumberFormat="1" applyFill="1" applyBorder="1" applyAlignment="1">
      <alignment vertical="center"/>
    </xf>
    <xf numFmtId="4" fontId="0" fillId="11" borderId="0" xfId="0" applyNumberFormat="1" applyFill="1" applyBorder="1" applyAlignment="1">
      <alignment vertical="center"/>
    </xf>
    <xf numFmtId="2" fontId="9" fillId="11" borderId="18" xfId="0" applyNumberFormat="1" applyFont="1" applyFill="1" applyBorder="1" applyAlignment="1">
      <alignment horizontal="left"/>
    </xf>
    <xf numFmtId="0" fontId="0" fillId="11" borderId="18" xfId="0" applyFill="1" applyBorder="1" applyAlignment="1">
      <alignment horizontal="left"/>
    </xf>
    <xf numFmtId="0" fontId="0" fillId="11" borderId="19" xfId="0" applyFill="1" applyBorder="1" applyAlignment="1">
      <alignment horizontal="left"/>
    </xf>
    <xf numFmtId="0" fontId="11" fillId="9" borderId="0" xfId="0" applyFont="1" applyFill="1" applyBorder="1" applyAlignment="1">
      <alignment horizontal="center" vertical="center"/>
    </xf>
    <xf numFmtId="4" fontId="14" fillId="11" borderId="0" xfId="0" applyNumberFormat="1" applyFont="1" applyFill="1" applyBorder="1" applyAlignment="1">
      <alignment horizontal="center"/>
    </xf>
    <xf numFmtId="3" fontId="5" fillId="11" borderId="41" xfId="0" applyNumberFormat="1" applyFont="1" applyFill="1" applyBorder="1" applyAlignment="1">
      <alignment horizontal="center"/>
    </xf>
    <xf numFmtId="164" fontId="0" fillId="2" borderId="0" xfId="0" applyNumberFormat="1" applyFill="1"/>
    <xf numFmtId="164" fontId="0" fillId="5" borderId="27" xfId="0" applyNumberFormat="1" applyFill="1" applyBorder="1"/>
    <xf numFmtId="164" fontId="8" fillId="5" borderId="0" xfId="0" applyNumberFormat="1" applyFont="1" applyFill="1" applyBorder="1" applyAlignment="1">
      <alignment horizontal="center" vertical="center"/>
    </xf>
    <xf numFmtId="164" fontId="0" fillId="5" borderId="0" xfId="0" applyNumberFormat="1" applyFill="1" applyBorder="1"/>
    <xf numFmtId="164" fontId="0" fillId="5" borderId="18" xfId="0" applyNumberFormat="1" applyFill="1" applyBorder="1"/>
    <xf numFmtId="164" fontId="7" fillId="3" borderId="5" xfId="0" applyNumberFormat="1" applyFont="1" applyFill="1" applyBorder="1" applyAlignment="1">
      <alignment horizontal="center"/>
    </xf>
    <xf numFmtId="164" fontId="7" fillId="3" borderId="2" xfId="0" applyNumberFormat="1" applyFont="1" applyFill="1" applyBorder="1" applyAlignment="1">
      <alignment horizontal="center"/>
    </xf>
    <xf numFmtId="164" fontId="0" fillId="2" borderId="8" xfId="0" applyNumberFormat="1" applyFill="1" applyBorder="1" applyAlignment="1">
      <alignment horizontal="center"/>
    </xf>
    <xf numFmtId="164" fontId="0" fillId="2" borderId="2" xfId="0" applyNumberFormat="1" applyFill="1" applyBorder="1" applyAlignment="1">
      <alignment horizontal="center"/>
    </xf>
    <xf numFmtId="164" fontId="0" fillId="11" borderId="18" xfId="0" applyNumberFormat="1" applyFill="1" applyBorder="1"/>
    <xf numFmtId="164" fontId="0" fillId="11" borderId="0" xfId="0" applyNumberFormat="1" applyFill="1" applyBorder="1" applyAlignment="1">
      <alignment horizontal="center"/>
    </xf>
    <xf numFmtId="164" fontId="0" fillId="11" borderId="0" xfId="0" applyNumberFormat="1" applyFill="1" applyBorder="1"/>
    <xf numFmtId="164" fontId="0" fillId="11" borderId="21" xfId="0" applyNumberFormat="1" applyFill="1" applyBorder="1" applyAlignment="1">
      <alignment vertical="center"/>
    </xf>
    <xf numFmtId="164" fontId="1" fillId="2" borderId="6" xfId="0" applyNumberFormat="1" applyFont="1" applyFill="1" applyBorder="1" applyAlignment="1">
      <alignment horizontal="right"/>
    </xf>
    <xf numFmtId="164" fontId="0" fillId="2" borderId="6" xfId="0" applyNumberFormat="1" applyFill="1" applyBorder="1" applyAlignment="1">
      <alignment horizontal="right"/>
    </xf>
    <xf numFmtId="164" fontId="4" fillId="2" borderId="2" xfId="0" applyNumberFormat="1" applyFont="1" applyFill="1" applyBorder="1" applyAlignment="1">
      <alignment horizontal="right"/>
    </xf>
    <xf numFmtId="164" fontId="4" fillId="11" borderId="0" xfId="0" applyNumberFormat="1" applyFont="1" applyFill="1" applyBorder="1" applyAlignment="1">
      <alignment horizontal="right"/>
    </xf>
    <xf numFmtId="164" fontId="5" fillId="11" borderId="0" xfId="0" applyNumberFormat="1" applyFont="1" applyFill="1" applyBorder="1"/>
    <xf numFmtId="164" fontId="3" fillId="11" borderId="0" xfId="0" applyNumberFormat="1" applyFont="1" applyFill="1" applyBorder="1" applyAlignment="1">
      <alignment horizontal="right"/>
    </xf>
    <xf numFmtId="164" fontId="4" fillId="11" borderId="0" xfId="0" applyNumberFormat="1" applyFont="1" applyFill="1" applyBorder="1" applyAlignment="1"/>
    <xf numFmtId="164" fontId="0" fillId="2" borderId="0" xfId="0" applyNumberFormat="1" applyFill="1" applyBorder="1"/>
    <xf numFmtId="164" fontId="0" fillId="11" borderId="21" xfId="0" applyNumberFormat="1" applyFill="1" applyBorder="1"/>
    <xf numFmtId="164" fontId="0" fillId="5" borderId="32" xfId="0" applyNumberFormat="1" applyFill="1" applyBorder="1"/>
    <xf numFmtId="164" fontId="0" fillId="0" borderId="0" xfId="0" applyNumberFormat="1"/>
    <xf numFmtId="0" fontId="4" fillId="2" borderId="0" xfId="0" applyFont="1" applyFill="1" applyAlignment="1">
      <alignment horizontal="center"/>
    </xf>
    <xf numFmtId="164" fontId="0" fillId="2" borderId="0" xfId="0" applyNumberFormat="1" applyFill="1" applyAlignment="1">
      <alignment horizontal="center"/>
    </xf>
    <xf numFmtId="164" fontId="4" fillId="2" borderId="5" xfId="0" applyNumberFormat="1" applyFont="1" applyFill="1" applyBorder="1" applyAlignment="1">
      <alignment horizontal="center"/>
    </xf>
    <xf numFmtId="2" fontId="4" fillId="0" borderId="25" xfId="0" applyNumberFormat="1" applyFont="1" applyFill="1" applyBorder="1" applyAlignment="1"/>
    <xf numFmtId="2" fontId="0" fillId="0" borderId="7" xfId="0" applyNumberFormat="1" applyFill="1" applyBorder="1" applyAlignment="1"/>
    <xf numFmtId="164" fontId="4" fillId="12" borderId="8" xfId="0" applyNumberFormat="1" applyFont="1" applyFill="1" applyBorder="1" applyAlignment="1">
      <alignment horizontal="right"/>
    </xf>
    <xf numFmtId="2" fontId="4" fillId="12" borderId="4" xfId="0" applyNumberFormat="1" applyFont="1" applyFill="1" applyBorder="1"/>
    <xf numFmtId="2" fontId="5" fillId="4" borderId="12" xfId="0" applyNumberFormat="1" applyFont="1" applyFill="1" applyBorder="1" applyAlignment="1">
      <alignment horizontal="center" vertical="center"/>
    </xf>
    <xf numFmtId="2" fontId="0" fillId="2" borderId="1" xfId="0" applyNumberFormat="1" applyFill="1" applyBorder="1"/>
    <xf numFmtId="0" fontId="4" fillId="11" borderId="0" xfId="0" applyFont="1" applyFill="1" applyBorder="1" applyAlignment="1">
      <alignment horizontal="left"/>
    </xf>
    <xf numFmtId="0" fontId="0" fillId="2" borderId="42" xfId="0" applyFill="1" applyBorder="1" applyAlignment="1">
      <alignment horizontal="right"/>
    </xf>
    <xf numFmtId="0" fontId="4" fillId="12" borderId="2" xfId="0" applyFont="1" applyFill="1" applyBorder="1" applyAlignment="1">
      <alignment horizontal="right"/>
    </xf>
    <xf numFmtId="1" fontId="0" fillId="2" borderId="2" xfId="0" applyNumberFormat="1" applyFill="1" applyBorder="1" applyAlignment="1">
      <alignment horizontal="center"/>
    </xf>
    <xf numFmtId="164" fontId="4" fillId="5" borderId="21" xfId="0" applyNumberFormat="1" applyFont="1" applyFill="1" applyBorder="1"/>
    <xf numFmtId="2" fontId="0" fillId="0" borderId="7" xfId="0" applyNumberFormat="1" applyFill="1" applyBorder="1" applyAlignment="1">
      <alignment horizontal="center"/>
    </xf>
    <xf numFmtId="2" fontId="0" fillId="0" borderId="3" xfId="0" applyNumberFormat="1" applyFill="1" applyBorder="1" applyAlignment="1">
      <alignment horizontal="center"/>
    </xf>
    <xf numFmtId="2" fontId="0" fillId="2" borderId="3" xfId="0" applyNumberFormat="1" applyFill="1" applyBorder="1" applyAlignment="1">
      <alignment horizontal="center"/>
    </xf>
    <xf numFmtId="2" fontId="0" fillId="2" borderId="1" xfId="0" applyNumberFormat="1" applyFill="1" applyBorder="1" applyAlignment="1">
      <alignment horizontal="center"/>
    </xf>
    <xf numFmtId="2" fontId="0" fillId="2" borderId="7" xfId="0" applyNumberFormat="1" applyFill="1" applyBorder="1" applyAlignment="1">
      <alignment horizontal="center"/>
    </xf>
    <xf numFmtId="4" fontId="0" fillId="0" borderId="3" xfId="0" applyNumberFormat="1" applyFill="1" applyBorder="1" applyAlignment="1">
      <alignment horizontal="center"/>
    </xf>
    <xf numFmtId="2" fontId="0" fillId="11" borderId="0" xfId="0" applyNumberFormat="1" applyFill="1" applyBorder="1" applyAlignment="1">
      <alignment horizontal="left"/>
    </xf>
    <xf numFmtId="0" fontId="3" fillId="11" borderId="0" xfId="0" applyFont="1" applyFill="1" applyBorder="1" applyAlignment="1">
      <alignment horizontal="center"/>
    </xf>
    <xf numFmtId="4" fontId="0" fillId="0" borderId="11" xfId="0" applyNumberFormat="1" applyFill="1" applyBorder="1" applyAlignment="1">
      <alignment horizontal="center"/>
    </xf>
    <xf numFmtId="2" fontId="0" fillId="0" borderId="25" xfId="0" applyNumberFormat="1" applyBorder="1" applyAlignment="1">
      <alignment horizontal="center"/>
    </xf>
    <xf numFmtId="2" fontId="4" fillId="2" borderId="34" xfId="0" applyNumberFormat="1" applyFont="1" applyFill="1" applyBorder="1" applyAlignment="1">
      <alignment horizontal="center" vertical="justify"/>
    </xf>
    <xf numFmtId="2" fontId="4" fillId="2" borderId="12" xfId="0" applyNumberFormat="1" applyFont="1" applyFill="1" applyBorder="1" applyAlignment="1">
      <alignment horizontal="center" vertical="justify"/>
    </xf>
    <xf numFmtId="2" fontId="4" fillId="2" borderId="13" xfId="0" applyNumberFormat="1" applyFont="1" applyFill="1" applyBorder="1" applyAlignment="1">
      <alignment horizontal="center" vertical="justify"/>
    </xf>
    <xf numFmtId="2" fontId="0" fillId="6" borderId="34" xfId="0" applyNumberFormat="1" applyFill="1" applyBorder="1" applyAlignment="1">
      <alignment horizontal="center" vertical="justify"/>
    </xf>
    <xf numFmtId="2" fontId="0" fillId="6" borderId="12" xfId="0" applyNumberFormat="1" applyFill="1" applyBorder="1" applyAlignment="1">
      <alignment horizontal="center" vertical="justify"/>
    </xf>
    <xf numFmtId="2" fontId="0" fillId="6" borderId="13" xfId="0" applyNumberFormat="1" applyFill="1" applyBorder="1" applyAlignment="1">
      <alignment horizontal="center" vertical="justify"/>
    </xf>
    <xf numFmtId="2" fontId="0" fillId="0" borderId="23" xfId="0" applyNumberFormat="1" applyFill="1" applyBorder="1" applyAlignment="1"/>
    <xf numFmtId="2" fontId="0" fillId="0" borderId="3" xfId="0" applyNumberFormat="1" applyFill="1" applyBorder="1" applyAlignment="1"/>
    <xf numFmtId="2" fontId="0" fillId="0" borderId="1" xfId="0" applyNumberFormat="1" applyFill="1" applyBorder="1" applyAlignment="1"/>
    <xf numFmtId="0" fontId="11" fillId="7" borderId="17" xfId="0" applyFont="1" applyFill="1" applyBorder="1" applyAlignment="1">
      <alignment vertical="center"/>
    </xf>
    <xf numFmtId="0" fontId="11" fillId="7" borderId="18" xfId="0" applyFont="1" applyFill="1" applyBorder="1" applyAlignment="1">
      <alignment vertical="center"/>
    </xf>
    <xf numFmtId="0" fontId="11" fillId="7" borderId="19" xfId="0" applyFont="1" applyFill="1" applyBorder="1" applyAlignment="1">
      <alignment vertical="center"/>
    </xf>
    <xf numFmtId="0" fontId="11" fillId="7" borderId="20" xfId="0" applyFont="1" applyFill="1" applyBorder="1" applyAlignment="1">
      <alignment vertical="center"/>
    </xf>
    <xf numFmtId="0" fontId="11" fillId="7" borderId="21" xfId="0" applyFont="1" applyFill="1" applyBorder="1" applyAlignment="1">
      <alignment vertical="center"/>
    </xf>
    <xf numFmtId="0" fontId="11" fillId="7" borderId="22" xfId="0" applyFont="1" applyFill="1" applyBorder="1" applyAlignment="1">
      <alignment vertical="center"/>
    </xf>
    <xf numFmtId="2" fontId="3" fillId="10" borderId="13" xfId="0" applyNumberFormat="1" applyFont="1" applyFill="1" applyBorder="1" applyAlignment="1"/>
    <xf numFmtId="2" fontId="0" fillId="2" borderId="35" xfId="0" applyNumberFormat="1" applyFill="1" applyBorder="1" applyAlignment="1"/>
    <xf numFmtId="2" fontId="0" fillId="2" borderId="21" xfId="0" applyNumberFormat="1" applyFill="1" applyBorder="1" applyAlignment="1"/>
    <xf numFmtId="2" fontId="0" fillId="2" borderId="22" xfId="0" applyNumberFormat="1" applyFill="1" applyBorder="1" applyAlignment="1"/>
    <xf numFmtId="0" fontId="3" fillId="6" borderId="34" xfId="0" applyFont="1" applyFill="1" applyBorder="1" applyAlignment="1"/>
    <xf numFmtId="0" fontId="3" fillId="6" borderId="12" xfId="0" applyFont="1" applyFill="1" applyBorder="1" applyAlignment="1"/>
    <xf numFmtId="0" fontId="3" fillId="6" borderId="18" xfId="0" applyFont="1" applyFill="1" applyBorder="1" applyAlignment="1"/>
    <xf numFmtId="0" fontId="3" fillId="6" borderId="19" xfId="0" applyFont="1" applyFill="1" applyBorder="1" applyAlignment="1"/>
    <xf numFmtId="2" fontId="0" fillId="2" borderId="2" xfId="0" applyNumberFormat="1" applyFill="1" applyBorder="1" applyAlignment="1"/>
    <xf numFmtId="2" fontId="0" fillId="2" borderId="3" xfId="0" applyNumberFormat="1" applyFill="1" applyBorder="1" applyAlignment="1"/>
    <xf numFmtId="2" fontId="0" fillId="2" borderId="1" xfId="0" applyNumberFormat="1" applyFill="1" applyBorder="1" applyAlignment="1"/>
    <xf numFmtId="2" fontId="0" fillId="2" borderId="5" xfId="0" applyNumberFormat="1" applyFill="1" applyBorder="1" applyAlignment="1"/>
    <xf numFmtId="2" fontId="0" fillId="2" borderId="7" xfId="0" applyNumberFormat="1" applyFill="1" applyBorder="1" applyAlignment="1"/>
    <xf numFmtId="2" fontId="0" fillId="2" borderId="23" xfId="0" applyNumberFormat="1" applyFill="1" applyBorder="1" applyAlignment="1"/>
    <xf numFmtId="2" fontId="6" fillId="2" borderId="10" xfId="0" applyNumberFormat="1" applyFont="1" applyFill="1" applyBorder="1" applyAlignment="1"/>
    <xf numFmtId="2" fontId="4" fillId="2" borderId="25" xfId="0" applyNumberFormat="1" applyFont="1" applyFill="1" applyBorder="1" applyAlignment="1"/>
    <xf numFmtId="2" fontId="4" fillId="2" borderId="36" xfId="0" applyNumberFormat="1" applyFont="1" applyFill="1" applyBorder="1" applyAlignment="1"/>
    <xf numFmtId="2" fontId="4" fillId="2" borderId="37" xfId="0" applyNumberFormat="1" applyFont="1" applyFill="1" applyBorder="1" applyAlignment="1"/>
    <xf numFmtId="3" fontId="0" fillId="2" borderId="38" xfId="0" applyNumberFormat="1" applyFill="1" applyBorder="1" applyAlignment="1"/>
    <xf numFmtId="3" fontId="0" fillId="2" borderId="11" xfId="0" applyNumberFormat="1" applyFill="1" applyBorder="1" applyAlignment="1"/>
    <xf numFmtId="2" fontId="3" fillId="10" borderId="34" xfId="0" applyNumberFormat="1" applyFont="1" applyFill="1" applyBorder="1" applyAlignment="1"/>
    <xf numFmtId="4" fontId="4" fillId="11" borderId="0" xfId="0" applyNumberFormat="1" applyFont="1" applyFill="1" applyBorder="1" applyAlignment="1">
      <alignment vertical="center" wrapText="1"/>
    </xf>
    <xf numFmtId="2" fontId="3" fillId="11" borderId="0" xfId="0" applyNumberFormat="1" applyFont="1" applyFill="1" applyBorder="1" applyAlignment="1"/>
    <xf numFmtId="2" fontId="0" fillId="6" borderId="39" xfId="0" applyNumberFormat="1" applyFill="1" applyBorder="1" applyAlignment="1"/>
    <xf numFmtId="2" fontId="0" fillId="6" borderId="40" xfId="0" applyNumberFormat="1" applyFill="1" applyBorder="1" applyAlignment="1"/>
    <xf numFmtId="2" fontId="0" fillId="6" borderId="34" xfId="0" applyNumberFormat="1" applyFill="1" applyBorder="1" applyAlignment="1"/>
    <xf numFmtId="2" fontId="0" fillId="6" borderId="12" xfId="0" applyNumberFormat="1" applyFill="1" applyBorder="1" applyAlignment="1"/>
    <xf numFmtId="2" fontId="0" fillId="6" borderId="13" xfId="0" applyNumberFormat="1" applyFill="1" applyBorder="1" applyAlignment="1"/>
    <xf numFmtId="2" fontId="0" fillId="2" borderId="11" xfId="0" applyNumberFormat="1" applyFill="1" applyBorder="1" applyAlignment="1"/>
    <xf numFmtId="2" fontId="0" fillId="2" borderId="24" xfId="0" applyNumberFormat="1" applyFill="1" applyBorder="1" applyAlignment="1"/>
    <xf numFmtId="2" fontId="0" fillId="2" borderId="36" xfId="0" applyNumberFormat="1" applyFill="1" applyBorder="1" applyAlignment="1"/>
    <xf numFmtId="2" fontId="0" fillId="2" borderId="25" xfId="0" applyNumberFormat="1" applyFill="1" applyBorder="1" applyAlignment="1"/>
    <xf numFmtId="2" fontId="0" fillId="2" borderId="37" xfId="0" applyNumberFormat="1" applyFill="1" applyBorder="1" applyAlignment="1"/>
    <xf numFmtId="0" fontId="3" fillId="11" borderId="0" xfId="0" applyFont="1" applyFill="1" applyBorder="1" applyAlignment="1"/>
    <xf numFmtId="0" fontId="3" fillId="6" borderId="13" xfId="0" applyFont="1" applyFill="1" applyBorder="1" applyAlignment="1"/>
    <xf numFmtId="0" fontId="6" fillId="2" borderId="10" xfId="0" applyFont="1" applyFill="1" applyBorder="1" applyAlignment="1"/>
    <xf numFmtId="0" fontId="6" fillId="2" borderId="43" xfId="0" applyFont="1" applyFill="1" applyBorder="1" applyAlignment="1"/>
    <xf numFmtId="2" fontId="6" fillId="2" borderId="23" xfId="0" applyNumberFormat="1" applyFont="1" applyFill="1" applyBorder="1" applyAlignment="1"/>
    <xf numFmtId="0" fontId="0" fillId="12" borderId="1" xfId="0" applyFill="1" applyBorder="1" applyAlignment="1"/>
    <xf numFmtId="2" fontId="3" fillId="8" borderId="17" xfId="0" applyNumberFormat="1" applyFont="1" applyFill="1" applyBorder="1" applyAlignment="1">
      <alignment horizontal="center" vertical="center"/>
    </xf>
    <xf numFmtId="2" fontId="3" fillId="8" borderId="15" xfId="0" applyNumberFormat="1" applyFont="1" applyFill="1" applyBorder="1" applyAlignment="1">
      <alignment horizontal="center" vertical="center"/>
    </xf>
    <xf numFmtId="2" fontId="3" fillId="8" borderId="20" xfId="0" applyNumberFormat="1" applyFont="1" applyFill="1" applyBorder="1" applyAlignment="1">
      <alignment horizontal="center" vertical="center"/>
    </xf>
    <xf numFmtId="0" fontId="15" fillId="2" borderId="10" xfId="0" applyFont="1" applyFill="1" applyBorder="1" applyAlignment="1"/>
    <xf numFmtId="2" fontId="3" fillId="8" borderId="19" xfId="0" applyNumberFormat="1" applyFont="1" applyFill="1" applyBorder="1" applyAlignment="1">
      <alignment horizontal="center" vertical="center"/>
    </xf>
    <xf numFmtId="2" fontId="3" fillId="8" borderId="16" xfId="0" applyNumberFormat="1" applyFont="1" applyFill="1" applyBorder="1" applyAlignment="1">
      <alignment horizontal="center" vertical="center"/>
    </xf>
    <xf numFmtId="2" fontId="3" fillId="8" borderId="22" xfId="0" applyNumberFormat="1" applyFont="1" applyFill="1" applyBorder="1" applyAlignment="1">
      <alignment horizontal="center" vertical="center"/>
    </xf>
    <xf numFmtId="1" fontId="5" fillId="4" borderId="12" xfId="0" applyNumberFormat="1" applyFont="1" applyFill="1" applyBorder="1" applyAlignment="1">
      <alignment horizontal="right" vertical="justify" wrapText="1"/>
    </xf>
    <xf numFmtId="2" fontId="0" fillId="4" borderId="34" xfId="0" applyNumberFormat="1" applyFill="1" applyBorder="1" applyAlignment="1">
      <alignment horizontal="center" vertical="justify"/>
    </xf>
    <xf numFmtId="2" fontId="0" fillId="4" borderId="12" xfId="0" applyNumberFormat="1" applyFill="1" applyBorder="1" applyAlignment="1">
      <alignment horizontal="center" vertical="justify"/>
    </xf>
    <xf numFmtId="2" fontId="0" fillId="0" borderId="44" xfId="0" applyNumberFormat="1" applyBorder="1" applyAlignment="1">
      <alignment horizontal="center"/>
    </xf>
    <xf numFmtId="4" fontId="0" fillId="0" borderId="38" xfId="0" applyNumberFormat="1" applyFill="1" applyBorder="1" applyAlignment="1">
      <alignment horizontal="center"/>
    </xf>
    <xf numFmtId="0" fontId="16" fillId="2" borderId="6" xfId="0" applyFont="1" applyFill="1" applyBorder="1" applyAlignment="1">
      <alignment horizontal="righ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571500</xdr:colOff>
      <xdr:row>1</xdr:row>
      <xdr:rowOff>121920</xdr:rowOff>
    </xdr:from>
    <xdr:to>
      <xdr:col>8</xdr:col>
      <xdr:colOff>609600</xdr:colOff>
      <xdr:row>17</xdr:row>
      <xdr:rowOff>129540</xdr:rowOff>
    </xdr:to>
    <xdr:sp macro="" textlink="">
      <xdr:nvSpPr>
        <xdr:cNvPr id="2" name="CuadroTexto 1">
          <a:extLst>
            <a:ext uri="{FF2B5EF4-FFF2-40B4-BE49-F238E27FC236}">
              <a16:creationId xmlns:a16="http://schemas.microsoft.com/office/drawing/2014/main" id="{CB9B3602-6436-4C92-A173-7659EA6F1120}"/>
            </a:ext>
          </a:extLst>
        </xdr:cNvPr>
        <xdr:cNvSpPr txBox="1"/>
      </xdr:nvSpPr>
      <xdr:spPr>
        <a:xfrm>
          <a:off x="571500" y="289560"/>
          <a:ext cx="6377940" cy="26898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t>El programa calcula la trampa a insertar en cada una de las rama de un dipolo para que resuene en dos frecuencias de interés para el usuario.</a:t>
          </a:r>
        </a:p>
        <a:p>
          <a:endParaRPr lang="es-ES" sz="1100"/>
        </a:p>
        <a:p>
          <a:r>
            <a:rPr lang="es-ES" sz="1100"/>
            <a:t>La trampa resuena en</a:t>
          </a:r>
          <a:r>
            <a:rPr lang="es-ES" sz="1100" baseline="0"/>
            <a:t> un valor de frecuencia inferior a la frecuencia más alta</a:t>
          </a:r>
          <a:endParaRPr lang="es-ES" sz="1100"/>
        </a:p>
        <a:p>
          <a:endParaRPr lang="es-ES" sz="1100"/>
        </a:p>
        <a:p>
          <a:r>
            <a:rPr lang="es-ES" sz="1100"/>
            <a:t> Se dá por supuesto que el tramo interior de cada rama tiene una longitud de 1/4</a:t>
          </a:r>
          <a:r>
            <a:rPr lang="es-ES" sz="1100" baseline="0"/>
            <a:t> </a:t>
          </a:r>
          <a:r>
            <a:rPr lang="el-GR" sz="1100" baseline="0"/>
            <a:t>λ</a:t>
          </a:r>
          <a:r>
            <a:rPr lang="es-ES" sz="1100" baseline="0"/>
            <a:t> en la frecuencia alta.</a:t>
          </a:r>
        </a:p>
        <a:p>
          <a:endParaRPr lang="es-ES" sz="1100" baseline="0"/>
        </a:p>
        <a:p>
          <a:r>
            <a:rPr lang="es-ES" sz="1100" baseline="0"/>
            <a:t>El dato de entrada de la reactancia de la bobina prevista (D15), nos determina el valor de L y C (G12 y H12) de la trampa. Este valor de reactancia se puede variar hasta conseguir unos valores de L y C practicables para el usuario. Otro valor que se debe tener en cuenta es que la relación L/C debe ser =&gt; de 90.000 (I12) .</a:t>
          </a:r>
        </a:p>
        <a:p>
          <a:endParaRPr lang="es-ES" sz="1100" baseline="0"/>
        </a:p>
        <a:p>
          <a:r>
            <a:rPr lang="es-ES" sz="1100" baseline="0"/>
            <a:t>Una vez hallado los valores de LC, el programa determina le longitud del tramo exterior (J32) para resonar en la baja frecuencia teniendo en cuenta la presencia de la trampa que actúa como carga inductiva cuyos valores también calcula (K27).</a:t>
          </a:r>
          <a:endParaRPr lang="es-E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335280</xdr:colOff>
      <xdr:row>37</xdr:row>
      <xdr:rowOff>83820</xdr:rowOff>
    </xdr:from>
    <xdr:to>
      <xdr:col>8</xdr:col>
      <xdr:colOff>0</xdr:colOff>
      <xdr:row>37</xdr:row>
      <xdr:rowOff>99060</xdr:rowOff>
    </xdr:to>
    <xdr:sp macro="" textlink="">
      <xdr:nvSpPr>
        <xdr:cNvPr id="1647" name="Line 1">
          <a:extLst>
            <a:ext uri="{FF2B5EF4-FFF2-40B4-BE49-F238E27FC236}">
              <a16:creationId xmlns:a16="http://schemas.microsoft.com/office/drawing/2014/main" id="{00000000-0008-0000-0000-00006F060000}"/>
            </a:ext>
          </a:extLst>
        </xdr:cNvPr>
        <xdr:cNvSpPr>
          <a:spLocks noChangeShapeType="1"/>
        </xdr:cNvSpPr>
      </xdr:nvSpPr>
      <xdr:spPr bwMode="auto">
        <a:xfrm flipH="1" flipV="1">
          <a:off x="3604260" y="5966460"/>
          <a:ext cx="1394460" cy="15240"/>
        </a:xfrm>
        <a:prstGeom prst="line">
          <a:avLst/>
        </a:prstGeom>
        <a:noFill/>
        <a:ln w="19050">
          <a:solidFill>
            <a:srgbClr val="000000"/>
          </a:solidFill>
          <a:round/>
          <a:headEnd/>
          <a:tailEnd/>
        </a:ln>
      </xdr:spPr>
    </xdr:sp>
    <xdr:clientData/>
  </xdr:twoCellAnchor>
  <xdr:twoCellAnchor>
    <xdr:from>
      <xdr:col>9</xdr:col>
      <xdr:colOff>7620</xdr:colOff>
      <xdr:row>37</xdr:row>
      <xdr:rowOff>83820</xdr:rowOff>
    </xdr:from>
    <xdr:to>
      <xdr:col>11</xdr:col>
      <xdr:colOff>228600</xdr:colOff>
      <xdr:row>37</xdr:row>
      <xdr:rowOff>83820</xdr:rowOff>
    </xdr:to>
    <xdr:sp macro="" textlink="">
      <xdr:nvSpPr>
        <xdr:cNvPr id="1648" name="Line 2">
          <a:extLst>
            <a:ext uri="{FF2B5EF4-FFF2-40B4-BE49-F238E27FC236}">
              <a16:creationId xmlns:a16="http://schemas.microsoft.com/office/drawing/2014/main" id="{00000000-0008-0000-0000-000070060000}"/>
            </a:ext>
          </a:extLst>
        </xdr:cNvPr>
        <xdr:cNvSpPr>
          <a:spLocks noChangeShapeType="1"/>
        </xdr:cNvSpPr>
      </xdr:nvSpPr>
      <xdr:spPr bwMode="auto">
        <a:xfrm>
          <a:off x="5852160" y="5966460"/>
          <a:ext cx="1676400" cy="0"/>
        </a:xfrm>
        <a:prstGeom prst="line">
          <a:avLst/>
        </a:prstGeom>
        <a:noFill/>
        <a:ln w="19050">
          <a:solidFill>
            <a:srgbClr val="000000"/>
          </a:solidFill>
          <a:round/>
          <a:headEnd/>
          <a:tailEnd/>
        </a:ln>
      </xdr:spPr>
    </xdr:sp>
    <xdr:clientData/>
  </xdr:twoCellAnchor>
  <xdr:twoCellAnchor>
    <xdr:from>
      <xdr:col>6</xdr:col>
      <xdr:colOff>251460</xdr:colOff>
      <xdr:row>37</xdr:row>
      <xdr:rowOff>45720</xdr:rowOff>
    </xdr:from>
    <xdr:to>
      <xdr:col>6</xdr:col>
      <xdr:colOff>335280</xdr:colOff>
      <xdr:row>37</xdr:row>
      <xdr:rowOff>129540</xdr:rowOff>
    </xdr:to>
    <xdr:sp macro="" textlink="">
      <xdr:nvSpPr>
        <xdr:cNvPr id="1649" name="Oval 3">
          <a:extLst>
            <a:ext uri="{FF2B5EF4-FFF2-40B4-BE49-F238E27FC236}">
              <a16:creationId xmlns:a16="http://schemas.microsoft.com/office/drawing/2014/main" id="{00000000-0008-0000-0000-000071060000}"/>
            </a:ext>
          </a:extLst>
        </xdr:cNvPr>
        <xdr:cNvSpPr>
          <a:spLocks noChangeArrowheads="1"/>
        </xdr:cNvSpPr>
      </xdr:nvSpPr>
      <xdr:spPr bwMode="auto">
        <a:xfrm>
          <a:off x="3520440" y="5928360"/>
          <a:ext cx="83820" cy="83820"/>
        </a:xfrm>
        <a:prstGeom prst="ellipse">
          <a:avLst/>
        </a:prstGeom>
        <a:solidFill>
          <a:srgbClr val="FFFFFF"/>
        </a:solidFill>
        <a:ln w="19050">
          <a:solidFill>
            <a:srgbClr val="000000"/>
          </a:solidFill>
          <a:round/>
          <a:headEnd/>
          <a:tailEnd/>
        </a:ln>
      </xdr:spPr>
    </xdr:sp>
    <xdr:clientData/>
  </xdr:twoCellAnchor>
  <xdr:twoCellAnchor>
    <xdr:from>
      <xdr:col>6</xdr:col>
      <xdr:colOff>335280</xdr:colOff>
      <xdr:row>37</xdr:row>
      <xdr:rowOff>114300</xdr:rowOff>
    </xdr:from>
    <xdr:to>
      <xdr:col>6</xdr:col>
      <xdr:colOff>335280</xdr:colOff>
      <xdr:row>42</xdr:row>
      <xdr:rowOff>68580</xdr:rowOff>
    </xdr:to>
    <xdr:sp macro="" textlink="">
      <xdr:nvSpPr>
        <xdr:cNvPr id="1650" name="Line 4">
          <a:extLst>
            <a:ext uri="{FF2B5EF4-FFF2-40B4-BE49-F238E27FC236}">
              <a16:creationId xmlns:a16="http://schemas.microsoft.com/office/drawing/2014/main" id="{00000000-0008-0000-0000-000072060000}"/>
            </a:ext>
          </a:extLst>
        </xdr:cNvPr>
        <xdr:cNvSpPr>
          <a:spLocks noChangeShapeType="1"/>
        </xdr:cNvSpPr>
      </xdr:nvSpPr>
      <xdr:spPr bwMode="auto">
        <a:xfrm>
          <a:off x="3604260" y="5996940"/>
          <a:ext cx="0" cy="800100"/>
        </a:xfrm>
        <a:prstGeom prst="line">
          <a:avLst/>
        </a:prstGeom>
        <a:noFill/>
        <a:ln w="9525">
          <a:solidFill>
            <a:srgbClr val="000000"/>
          </a:solidFill>
          <a:round/>
          <a:headEnd/>
          <a:tailEnd/>
        </a:ln>
      </xdr:spPr>
    </xdr:sp>
    <xdr:clientData/>
  </xdr:twoCellAnchor>
  <xdr:twoCellAnchor>
    <xdr:from>
      <xdr:col>7</xdr:col>
      <xdr:colOff>0</xdr:colOff>
      <xdr:row>38</xdr:row>
      <xdr:rowOff>83820</xdr:rowOff>
    </xdr:from>
    <xdr:to>
      <xdr:col>7</xdr:col>
      <xdr:colOff>0</xdr:colOff>
      <xdr:row>38</xdr:row>
      <xdr:rowOff>83820</xdr:rowOff>
    </xdr:to>
    <xdr:sp macro="" textlink="">
      <xdr:nvSpPr>
        <xdr:cNvPr id="1651" name="Line 5">
          <a:extLst>
            <a:ext uri="{FF2B5EF4-FFF2-40B4-BE49-F238E27FC236}">
              <a16:creationId xmlns:a16="http://schemas.microsoft.com/office/drawing/2014/main" id="{00000000-0008-0000-0000-000073060000}"/>
            </a:ext>
          </a:extLst>
        </xdr:cNvPr>
        <xdr:cNvSpPr>
          <a:spLocks noChangeShapeType="1"/>
        </xdr:cNvSpPr>
      </xdr:nvSpPr>
      <xdr:spPr bwMode="auto">
        <a:xfrm>
          <a:off x="4168140" y="6141720"/>
          <a:ext cx="0" cy="0"/>
        </a:xfrm>
        <a:prstGeom prst="line">
          <a:avLst/>
        </a:prstGeom>
        <a:noFill/>
        <a:ln w="9525">
          <a:solidFill>
            <a:srgbClr val="000000"/>
          </a:solidFill>
          <a:round/>
          <a:headEnd/>
          <a:tailEnd type="triangle" w="med" len="med"/>
        </a:ln>
      </xdr:spPr>
    </xdr:sp>
    <xdr:clientData/>
  </xdr:twoCellAnchor>
  <xdr:twoCellAnchor>
    <xdr:from>
      <xdr:col>6</xdr:col>
      <xdr:colOff>335280</xdr:colOff>
      <xdr:row>38</xdr:row>
      <xdr:rowOff>99060</xdr:rowOff>
    </xdr:from>
    <xdr:to>
      <xdr:col>6</xdr:col>
      <xdr:colOff>541020</xdr:colOff>
      <xdr:row>38</xdr:row>
      <xdr:rowOff>99060</xdr:rowOff>
    </xdr:to>
    <xdr:sp macro="" textlink="">
      <xdr:nvSpPr>
        <xdr:cNvPr id="1652" name="Line 6">
          <a:extLst>
            <a:ext uri="{FF2B5EF4-FFF2-40B4-BE49-F238E27FC236}">
              <a16:creationId xmlns:a16="http://schemas.microsoft.com/office/drawing/2014/main" id="{00000000-0008-0000-0000-000074060000}"/>
            </a:ext>
          </a:extLst>
        </xdr:cNvPr>
        <xdr:cNvSpPr>
          <a:spLocks noChangeShapeType="1"/>
        </xdr:cNvSpPr>
      </xdr:nvSpPr>
      <xdr:spPr bwMode="auto">
        <a:xfrm flipH="1">
          <a:off x="3604260" y="6156960"/>
          <a:ext cx="205740" cy="0"/>
        </a:xfrm>
        <a:prstGeom prst="line">
          <a:avLst/>
        </a:prstGeom>
        <a:noFill/>
        <a:ln w="9525">
          <a:solidFill>
            <a:srgbClr val="000000"/>
          </a:solidFill>
          <a:round/>
          <a:headEnd/>
          <a:tailEnd type="triangle" w="med" len="med"/>
        </a:ln>
      </xdr:spPr>
    </xdr:sp>
    <xdr:clientData/>
  </xdr:twoCellAnchor>
  <xdr:twoCellAnchor>
    <xdr:from>
      <xdr:col>8</xdr:col>
      <xdr:colOff>0</xdr:colOff>
      <xdr:row>37</xdr:row>
      <xdr:rowOff>144780</xdr:rowOff>
    </xdr:from>
    <xdr:to>
      <xdr:col>8</xdr:col>
      <xdr:colOff>0</xdr:colOff>
      <xdr:row>42</xdr:row>
      <xdr:rowOff>45720</xdr:rowOff>
    </xdr:to>
    <xdr:sp macro="" textlink="">
      <xdr:nvSpPr>
        <xdr:cNvPr id="1653" name="Line 7">
          <a:extLst>
            <a:ext uri="{FF2B5EF4-FFF2-40B4-BE49-F238E27FC236}">
              <a16:creationId xmlns:a16="http://schemas.microsoft.com/office/drawing/2014/main" id="{00000000-0008-0000-0000-000075060000}"/>
            </a:ext>
          </a:extLst>
        </xdr:cNvPr>
        <xdr:cNvSpPr>
          <a:spLocks noChangeShapeType="1"/>
        </xdr:cNvSpPr>
      </xdr:nvSpPr>
      <xdr:spPr bwMode="auto">
        <a:xfrm>
          <a:off x="4998720" y="6027420"/>
          <a:ext cx="0" cy="746760"/>
        </a:xfrm>
        <a:prstGeom prst="line">
          <a:avLst/>
        </a:prstGeom>
        <a:noFill/>
        <a:ln w="9525">
          <a:solidFill>
            <a:srgbClr val="000000"/>
          </a:solidFill>
          <a:round/>
          <a:headEnd/>
          <a:tailEnd/>
        </a:ln>
      </xdr:spPr>
    </xdr:sp>
    <xdr:clientData/>
  </xdr:twoCellAnchor>
  <xdr:twoCellAnchor>
    <xdr:from>
      <xdr:col>7</xdr:col>
      <xdr:colOff>365760</xdr:colOff>
      <xdr:row>38</xdr:row>
      <xdr:rowOff>91440</xdr:rowOff>
    </xdr:from>
    <xdr:to>
      <xdr:col>8</xdr:col>
      <xdr:colOff>0</xdr:colOff>
      <xdr:row>38</xdr:row>
      <xdr:rowOff>91440</xdr:rowOff>
    </xdr:to>
    <xdr:sp macro="" textlink="">
      <xdr:nvSpPr>
        <xdr:cNvPr id="1654" name="Line 8">
          <a:extLst>
            <a:ext uri="{FF2B5EF4-FFF2-40B4-BE49-F238E27FC236}">
              <a16:creationId xmlns:a16="http://schemas.microsoft.com/office/drawing/2014/main" id="{00000000-0008-0000-0000-000076060000}"/>
            </a:ext>
          </a:extLst>
        </xdr:cNvPr>
        <xdr:cNvSpPr>
          <a:spLocks noChangeShapeType="1"/>
        </xdr:cNvSpPr>
      </xdr:nvSpPr>
      <xdr:spPr bwMode="auto">
        <a:xfrm>
          <a:off x="4533900" y="6149340"/>
          <a:ext cx="464820" cy="0"/>
        </a:xfrm>
        <a:prstGeom prst="line">
          <a:avLst/>
        </a:prstGeom>
        <a:noFill/>
        <a:ln w="9525">
          <a:solidFill>
            <a:srgbClr val="000000"/>
          </a:solidFill>
          <a:round/>
          <a:headEnd/>
          <a:tailEnd type="triangle" w="med" len="med"/>
        </a:ln>
      </xdr:spPr>
    </xdr:sp>
    <xdr:clientData/>
  </xdr:twoCellAnchor>
  <xdr:twoCellAnchor>
    <xdr:from>
      <xdr:col>9</xdr:col>
      <xdr:colOff>7620</xdr:colOff>
      <xdr:row>37</xdr:row>
      <xdr:rowOff>167640</xdr:rowOff>
    </xdr:from>
    <xdr:to>
      <xdr:col>9</xdr:col>
      <xdr:colOff>7620</xdr:colOff>
      <xdr:row>40</xdr:row>
      <xdr:rowOff>144780</xdr:rowOff>
    </xdr:to>
    <xdr:sp macro="" textlink="">
      <xdr:nvSpPr>
        <xdr:cNvPr id="1655" name="Line 9">
          <a:extLst>
            <a:ext uri="{FF2B5EF4-FFF2-40B4-BE49-F238E27FC236}">
              <a16:creationId xmlns:a16="http://schemas.microsoft.com/office/drawing/2014/main" id="{00000000-0008-0000-0000-000077060000}"/>
            </a:ext>
          </a:extLst>
        </xdr:cNvPr>
        <xdr:cNvSpPr>
          <a:spLocks noChangeShapeType="1"/>
        </xdr:cNvSpPr>
      </xdr:nvSpPr>
      <xdr:spPr bwMode="auto">
        <a:xfrm>
          <a:off x="5852160" y="6050280"/>
          <a:ext cx="0" cy="487680"/>
        </a:xfrm>
        <a:prstGeom prst="line">
          <a:avLst/>
        </a:prstGeom>
        <a:noFill/>
        <a:ln w="9525">
          <a:solidFill>
            <a:srgbClr val="000000"/>
          </a:solidFill>
          <a:round/>
          <a:headEnd/>
          <a:tailEnd/>
        </a:ln>
      </xdr:spPr>
    </xdr:sp>
    <xdr:clientData/>
  </xdr:twoCellAnchor>
  <xdr:twoCellAnchor>
    <xdr:from>
      <xdr:col>11</xdr:col>
      <xdr:colOff>236220</xdr:colOff>
      <xdr:row>37</xdr:row>
      <xdr:rowOff>22860</xdr:rowOff>
    </xdr:from>
    <xdr:to>
      <xdr:col>11</xdr:col>
      <xdr:colOff>236220</xdr:colOff>
      <xdr:row>42</xdr:row>
      <xdr:rowOff>60960</xdr:rowOff>
    </xdr:to>
    <xdr:sp macro="" textlink="">
      <xdr:nvSpPr>
        <xdr:cNvPr id="1656" name="Line 10">
          <a:extLst>
            <a:ext uri="{FF2B5EF4-FFF2-40B4-BE49-F238E27FC236}">
              <a16:creationId xmlns:a16="http://schemas.microsoft.com/office/drawing/2014/main" id="{00000000-0008-0000-0000-000078060000}"/>
            </a:ext>
          </a:extLst>
        </xdr:cNvPr>
        <xdr:cNvSpPr>
          <a:spLocks noChangeShapeType="1"/>
        </xdr:cNvSpPr>
      </xdr:nvSpPr>
      <xdr:spPr bwMode="auto">
        <a:xfrm flipV="1">
          <a:off x="7536180" y="5905500"/>
          <a:ext cx="0" cy="883920"/>
        </a:xfrm>
        <a:prstGeom prst="line">
          <a:avLst/>
        </a:prstGeom>
        <a:noFill/>
        <a:ln w="9525">
          <a:solidFill>
            <a:srgbClr val="000000"/>
          </a:solidFill>
          <a:round/>
          <a:headEnd/>
          <a:tailEnd/>
        </a:ln>
      </xdr:spPr>
    </xdr:sp>
    <xdr:clientData/>
  </xdr:twoCellAnchor>
  <xdr:twoCellAnchor>
    <xdr:from>
      <xdr:col>9</xdr:col>
      <xdr:colOff>7620</xdr:colOff>
      <xdr:row>38</xdr:row>
      <xdr:rowOff>106680</xdr:rowOff>
    </xdr:from>
    <xdr:to>
      <xdr:col>9</xdr:col>
      <xdr:colOff>594360</xdr:colOff>
      <xdr:row>38</xdr:row>
      <xdr:rowOff>106680</xdr:rowOff>
    </xdr:to>
    <xdr:sp macro="" textlink="">
      <xdr:nvSpPr>
        <xdr:cNvPr id="1657" name="Line 11">
          <a:extLst>
            <a:ext uri="{FF2B5EF4-FFF2-40B4-BE49-F238E27FC236}">
              <a16:creationId xmlns:a16="http://schemas.microsoft.com/office/drawing/2014/main" id="{00000000-0008-0000-0000-000079060000}"/>
            </a:ext>
          </a:extLst>
        </xdr:cNvPr>
        <xdr:cNvSpPr>
          <a:spLocks noChangeShapeType="1"/>
        </xdr:cNvSpPr>
      </xdr:nvSpPr>
      <xdr:spPr bwMode="auto">
        <a:xfrm flipH="1">
          <a:off x="5852160" y="6164580"/>
          <a:ext cx="586740" cy="0"/>
        </a:xfrm>
        <a:prstGeom prst="line">
          <a:avLst/>
        </a:prstGeom>
        <a:noFill/>
        <a:ln w="9525">
          <a:solidFill>
            <a:srgbClr val="000000"/>
          </a:solidFill>
          <a:round/>
          <a:headEnd/>
          <a:tailEnd type="triangle" w="med" len="med"/>
        </a:ln>
      </xdr:spPr>
    </xdr:sp>
    <xdr:clientData/>
  </xdr:twoCellAnchor>
  <xdr:twoCellAnchor>
    <xdr:from>
      <xdr:col>10</xdr:col>
      <xdr:colOff>251460</xdr:colOff>
      <xdr:row>38</xdr:row>
      <xdr:rowOff>91440</xdr:rowOff>
    </xdr:from>
    <xdr:to>
      <xdr:col>11</xdr:col>
      <xdr:colOff>251460</xdr:colOff>
      <xdr:row>38</xdr:row>
      <xdr:rowOff>91440</xdr:rowOff>
    </xdr:to>
    <xdr:sp macro="" textlink="">
      <xdr:nvSpPr>
        <xdr:cNvPr id="1658" name="Line 12">
          <a:extLst>
            <a:ext uri="{FF2B5EF4-FFF2-40B4-BE49-F238E27FC236}">
              <a16:creationId xmlns:a16="http://schemas.microsoft.com/office/drawing/2014/main" id="{00000000-0008-0000-0000-00007A060000}"/>
            </a:ext>
          </a:extLst>
        </xdr:cNvPr>
        <xdr:cNvSpPr>
          <a:spLocks noChangeShapeType="1"/>
        </xdr:cNvSpPr>
      </xdr:nvSpPr>
      <xdr:spPr bwMode="auto">
        <a:xfrm>
          <a:off x="7178040" y="6149340"/>
          <a:ext cx="373380" cy="0"/>
        </a:xfrm>
        <a:prstGeom prst="line">
          <a:avLst/>
        </a:prstGeom>
        <a:noFill/>
        <a:ln w="9525">
          <a:solidFill>
            <a:srgbClr val="000000"/>
          </a:solidFill>
          <a:round/>
          <a:headEnd/>
          <a:tailEnd type="triangle" w="med" len="med"/>
        </a:ln>
      </xdr:spPr>
    </xdr:sp>
    <xdr:clientData/>
  </xdr:twoCellAnchor>
  <xdr:twoCellAnchor>
    <xdr:from>
      <xdr:col>6</xdr:col>
      <xdr:colOff>0</xdr:colOff>
      <xdr:row>42</xdr:row>
      <xdr:rowOff>160020</xdr:rowOff>
    </xdr:from>
    <xdr:to>
      <xdr:col>14</xdr:col>
      <xdr:colOff>22860</xdr:colOff>
      <xdr:row>47</xdr:row>
      <xdr:rowOff>76200</xdr:rowOff>
    </xdr:to>
    <xdr:sp macro="" textlink="">
      <xdr:nvSpPr>
        <xdr:cNvPr id="1041" name="Text Box 17">
          <a:extLst>
            <a:ext uri="{FF2B5EF4-FFF2-40B4-BE49-F238E27FC236}">
              <a16:creationId xmlns:a16="http://schemas.microsoft.com/office/drawing/2014/main" id="{00000000-0008-0000-0000-000011040000}"/>
            </a:ext>
          </a:extLst>
        </xdr:cNvPr>
        <xdr:cNvSpPr txBox="1">
          <a:spLocks noChangeArrowheads="1"/>
        </xdr:cNvSpPr>
      </xdr:nvSpPr>
      <xdr:spPr bwMode="auto">
        <a:xfrm>
          <a:off x="3335867" y="7322820"/>
          <a:ext cx="5348393" cy="762847"/>
        </a:xfrm>
        <a:prstGeom prst="rect">
          <a:avLst/>
        </a:prstGeom>
        <a:solidFill>
          <a:srgbClr val="CCFFFF"/>
        </a:solidFill>
        <a:ln w="19050">
          <a:solidFill>
            <a:srgbClr val="000000"/>
          </a:solidFill>
          <a:miter lim="800000"/>
          <a:headEnd/>
          <a:tailEnd/>
        </a:ln>
      </xdr:spPr>
      <xdr:txBody>
        <a:bodyPr vertOverflow="clip" wrap="square" lIns="36576" tIns="27432" rIns="0" bIns="0" anchor="t" upright="1"/>
        <a:lstStyle/>
        <a:p>
          <a:pPr algn="l" rtl="0">
            <a:defRPr sz="1000"/>
          </a:pPr>
          <a:r>
            <a:rPr lang="es-ES" sz="1000" b="0" i="0" u="none" strike="noStrike" baseline="0">
              <a:solidFill>
                <a:srgbClr val="000000"/>
              </a:solidFill>
              <a:latin typeface="Arial"/>
              <a:cs typeface="Arial"/>
            </a:rPr>
            <a:t>La X de entrada exterior será capacitiva (el tramo es menor de 1/4 de onda) y debe ser igual a la suma de los valores absolutos  de las reactancias del tope del tramo interior (capacitiva) y la reactancia (inductiva) que presenta la carga combinada de la trampa.</a:t>
          </a:r>
        </a:p>
        <a:p>
          <a:pPr algn="l" rtl="0">
            <a:defRPr sz="1000"/>
          </a:pPr>
          <a:r>
            <a:rPr lang="es-ES" sz="1000" b="0" i="0" u="none" strike="noStrike" baseline="0">
              <a:solidFill>
                <a:srgbClr val="000000"/>
              </a:solidFill>
              <a:latin typeface="Arial"/>
              <a:cs typeface="Arial"/>
            </a:rPr>
            <a:t> [X de entrada exterior=X tope interior + X carga]</a:t>
          </a:r>
        </a:p>
      </xdr:txBody>
    </xdr:sp>
    <xdr:clientData/>
  </xdr:twoCellAnchor>
  <xdr:twoCellAnchor>
    <xdr:from>
      <xdr:col>7</xdr:col>
      <xdr:colOff>815340</xdr:colOff>
      <xdr:row>35</xdr:row>
      <xdr:rowOff>114300</xdr:rowOff>
    </xdr:from>
    <xdr:to>
      <xdr:col>8</xdr:col>
      <xdr:colOff>60960</xdr:colOff>
      <xdr:row>36</xdr:row>
      <xdr:rowOff>160020</xdr:rowOff>
    </xdr:to>
    <xdr:sp macro="" textlink="">
      <xdr:nvSpPr>
        <xdr:cNvPr id="1660" name="Line 18">
          <a:extLst>
            <a:ext uri="{FF2B5EF4-FFF2-40B4-BE49-F238E27FC236}">
              <a16:creationId xmlns:a16="http://schemas.microsoft.com/office/drawing/2014/main" id="{00000000-0008-0000-0000-00007C060000}"/>
            </a:ext>
          </a:extLst>
        </xdr:cNvPr>
        <xdr:cNvSpPr>
          <a:spLocks noChangeShapeType="1"/>
        </xdr:cNvSpPr>
      </xdr:nvSpPr>
      <xdr:spPr bwMode="auto">
        <a:xfrm flipH="1">
          <a:off x="4983480" y="5646420"/>
          <a:ext cx="76200" cy="213360"/>
        </a:xfrm>
        <a:prstGeom prst="line">
          <a:avLst/>
        </a:prstGeom>
        <a:noFill/>
        <a:ln w="9525">
          <a:solidFill>
            <a:srgbClr val="000000"/>
          </a:solidFill>
          <a:round/>
          <a:headEnd/>
          <a:tailEnd type="triangle" w="med" len="med"/>
        </a:ln>
      </xdr:spPr>
    </xdr:sp>
    <xdr:clientData/>
  </xdr:twoCellAnchor>
  <xdr:twoCellAnchor>
    <xdr:from>
      <xdr:col>6</xdr:col>
      <xdr:colOff>335280</xdr:colOff>
      <xdr:row>39</xdr:row>
      <xdr:rowOff>99060</xdr:rowOff>
    </xdr:from>
    <xdr:to>
      <xdr:col>6</xdr:col>
      <xdr:colOff>723900</xdr:colOff>
      <xdr:row>39</xdr:row>
      <xdr:rowOff>99060</xdr:rowOff>
    </xdr:to>
    <xdr:sp macro="" textlink="">
      <xdr:nvSpPr>
        <xdr:cNvPr id="1661" name="Line 11">
          <a:extLst>
            <a:ext uri="{FF2B5EF4-FFF2-40B4-BE49-F238E27FC236}">
              <a16:creationId xmlns:a16="http://schemas.microsoft.com/office/drawing/2014/main" id="{00000000-0008-0000-0000-00007D060000}"/>
            </a:ext>
          </a:extLst>
        </xdr:cNvPr>
        <xdr:cNvSpPr>
          <a:spLocks noChangeShapeType="1"/>
        </xdr:cNvSpPr>
      </xdr:nvSpPr>
      <xdr:spPr bwMode="auto">
        <a:xfrm flipH="1">
          <a:off x="3604260" y="6324600"/>
          <a:ext cx="388620" cy="0"/>
        </a:xfrm>
        <a:prstGeom prst="line">
          <a:avLst/>
        </a:prstGeom>
        <a:noFill/>
        <a:ln w="9525">
          <a:solidFill>
            <a:srgbClr val="000000"/>
          </a:solidFill>
          <a:round/>
          <a:headEnd/>
          <a:tailEnd type="triangle" w="med" len="med"/>
        </a:ln>
      </xdr:spPr>
    </xdr:sp>
    <xdr:clientData/>
  </xdr:twoCellAnchor>
  <xdr:twoCellAnchor>
    <xdr:from>
      <xdr:col>9</xdr:col>
      <xdr:colOff>22860</xdr:colOff>
      <xdr:row>40</xdr:row>
      <xdr:rowOff>99060</xdr:rowOff>
    </xdr:from>
    <xdr:to>
      <xdr:col>9</xdr:col>
      <xdr:colOff>746760</xdr:colOff>
      <xdr:row>40</xdr:row>
      <xdr:rowOff>99060</xdr:rowOff>
    </xdr:to>
    <xdr:sp macro="" textlink="">
      <xdr:nvSpPr>
        <xdr:cNvPr id="1662" name="Line 11">
          <a:extLst>
            <a:ext uri="{FF2B5EF4-FFF2-40B4-BE49-F238E27FC236}">
              <a16:creationId xmlns:a16="http://schemas.microsoft.com/office/drawing/2014/main" id="{00000000-0008-0000-0000-00007E060000}"/>
            </a:ext>
          </a:extLst>
        </xdr:cNvPr>
        <xdr:cNvSpPr>
          <a:spLocks noChangeShapeType="1"/>
        </xdr:cNvSpPr>
      </xdr:nvSpPr>
      <xdr:spPr bwMode="auto">
        <a:xfrm flipH="1" flipV="1">
          <a:off x="5867400" y="6492240"/>
          <a:ext cx="723900" cy="0"/>
        </a:xfrm>
        <a:prstGeom prst="line">
          <a:avLst/>
        </a:prstGeom>
        <a:noFill/>
        <a:ln w="9525">
          <a:solidFill>
            <a:srgbClr val="000000"/>
          </a:solidFill>
          <a:round/>
          <a:headEnd/>
          <a:tailEnd type="triangle" w="med" len="med"/>
        </a:ln>
      </xdr:spPr>
    </xdr:sp>
    <xdr:clientData/>
  </xdr:twoCellAnchor>
  <xdr:twoCellAnchor>
    <xdr:from>
      <xdr:col>10</xdr:col>
      <xdr:colOff>76200</xdr:colOff>
      <xdr:row>40</xdr:row>
      <xdr:rowOff>83820</xdr:rowOff>
    </xdr:from>
    <xdr:to>
      <xdr:col>11</xdr:col>
      <xdr:colOff>236220</xdr:colOff>
      <xdr:row>40</xdr:row>
      <xdr:rowOff>83820</xdr:rowOff>
    </xdr:to>
    <xdr:sp macro="" textlink="">
      <xdr:nvSpPr>
        <xdr:cNvPr id="1663" name="Line 11">
          <a:extLst>
            <a:ext uri="{FF2B5EF4-FFF2-40B4-BE49-F238E27FC236}">
              <a16:creationId xmlns:a16="http://schemas.microsoft.com/office/drawing/2014/main" id="{00000000-0008-0000-0000-00007F060000}"/>
            </a:ext>
          </a:extLst>
        </xdr:cNvPr>
        <xdr:cNvSpPr>
          <a:spLocks noChangeShapeType="1"/>
        </xdr:cNvSpPr>
      </xdr:nvSpPr>
      <xdr:spPr bwMode="auto">
        <a:xfrm>
          <a:off x="7002780" y="6477000"/>
          <a:ext cx="533400" cy="0"/>
        </a:xfrm>
        <a:prstGeom prst="line">
          <a:avLst/>
        </a:prstGeom>
        <a:noFill/>
        <a:ln w="9525">
          <a:solidFill>
            <a:srgbClr val="000000"/>
          </a:solidFill>
          <a:round/>
          <a:headEnd/>
          <a:tailEnd type="triangle" w="med" len="med"/>
        </a:ln>
      </xdr:spPr>
    </xdr:sp>
    <xdr:clientData/>
  </xdr:twoCellAnchor>
  <xdr:twoCellAnchor>
    <xdr:from>
      <xdr:col>7</xdr:col>
      <xdr:colOff>822960</xdr:colOff>
      <xdr:row>39</xdr:row>
      <xdr:rowOff>99060</xdr:rowOff>
    </xdr:from>
    <xdr:to>
      <xdr:col>8</xdr:col>
      <xdr:colOff>297180</xdr:colOff>
      <xdr:row>39</xdr:row>
      <xdr:rowOff>99060</xdr:rowOff>
    </xdr:to>
    <xdr:sp macro="" textlink="">
      <xdr:nvSpPr>
        <xdr:cNvPr id="1664" name="Line 11">
          <a:extLst>
            <a:ext uri="{FF2B5EF4-FFF2-40B4-BE49-F238E27FC236}">
              <a16:creationId xmlns:a16="http://schemas.microsoft.com/office/drawing/2014/main" id="{00000000-0008-0000-0000-000080060000}"/>
            </a:ext>
          </a:extLst>
        </xdr:cNvPr>
        <xdr:cNvSpPr>
          <a:spLocks noChangeShapeType="1"/>
        </xdr:cNvSpPr>
      </xdr:nvSpPr>
      <xdr:spPr bwMode="auto">
        <a:xfrm flipH="1">
          <a:off x="4991100" y="6324600"/>
          <a:ext cx="304800" cy="0"/>
        </a:xfrm>
        <a:prstGeom prst="line">
          <a:avLst/>
        </a:prstGeom>
        <a:noFill/>
        <a:ln w="9525">
          <a:solidFill>
            <a:srgbClr val="000000"/>
          </a:solidFill>
          <a:round/>
          <a:headEnd/>
          <a:tailEnd type="triangle" w="med" len="med"/>
        </a:ln>
      </xdr:spPr>
    </xdr:sp>
    <xdr:clientData/>
  </xdr:twoCellAnchor>
  <xdr:twoCellAnchor>
    <xdr:from>
      <xdr:col>8</xdr:col>
      <xdr:colOff>647700</xdr:colOff>
      <xdr:row>39</xdr:row>
      <xdr:rowOff>99060</xdr:rowOff>
    </xdr:from>
    <xdr:to>
      <xdr:col>9</xdr:col>
      <xdr:colOff>22860</xdr:colOff>
      <xdr:row>39</xdr:row>
      <xdr:rowOff>99060</xdr:rowOff>
    </xdr:to>
    <xdr:sp macro="" textlink="">
      <xdr:nvSpPr>
        <xdr:cNvPr id="1665" name="Line 11">
          <a:extLst>
            <a:ext uri="{FF2B5EF4-FFF2-40B4-BE49-F238E27FC236}">
              <a16:creationId xmlns:a16="http://schemas.microsoft.com/office/drawing/2014/main" id="{00000000-0008-0000-0000-000081060000}"/>
            </a:ext>
          </a:extLst>
        </xdr:cNvPr>
        <xdr:cNvSpPr>
          <a:spLocks noChangeShapeType="1"/>
        </xdr:cNvSpPr>
      </xdr:nvSpPr>
      <xdr:spPr bwMode="auto">
        <a:xfrm>
          <a:off x="5646420" y="6324600"/>
          <a:ext cx="220980" cy="0"/>
        </a:xfrm>
        <a:prstGeom prst="line">
          <a:avLst/>
        </a:prstGeom>
        <a:noFill/>
        <a:ln w="9525">
          <a:solidFill>
            <a:srgbClr val="000000"/>
          </a:solidFill>
          <a:round/>
          <a:headEnd/>
          <a:tailEnd type="triangle" w="med" len="med"/>
        </a:ln>
      </xdr:spPr>
    </xdr:sp>
    <xdr:clientData/>
  </xdr:twoCellAnchor>
  <xdr:twoCellAnchor>
    <xdr:from>
      <xdr:col>7</xdr:col>
      <xdr:colOff>175260</xdr:colOff>
      <xdr:row>39</xdr:row>
      <xdr:rowOff>91440</xdr:rowOff>
    </xdr:from>
    <xdr:to>
      <xdr:col>8</xdr:col>
      <xdr:colOff>0</xdr:colOff>
      <xdr:row>39</xdr:row>
      <xdr:rowOff>91440</xdr:rowOff>
    </xdr:to>
    <xdr:sp macro="" textlink="">
      <xdr:nvSpPr>
        <xdr:cNvPr id="1666" name="Line 11">
          <a:extLst>
            <a:ext uri="{FF2B5EF4-FFF2-40B4-BE49-F238E27FC236}">
              <a16:creationId xmlns:a16="http://schemas.microsoft.com/office/drawing/2014/main" id="{00000000-0008-0000-0000-000082060000}"/>
            </a:ext>
          </a:extLst>
        </xdr:cNvPr>
        <xdr:cNvSpPr>
          <a:spLocks noChangeShapeType="1"/>
        </xdr:cNvSpPr>
      </xdr:nvSpPr>
      <xdr:spPr bwMode="auto">
        <a:xfrm>
          <a:off x="4343400" y="6316980"/>
          <a:ext cx="655320" cy="0"/>
        </a:xfrm>
        <a:prstGeom prst="line">
          <a:avLst/>
        </a:prstGeom>
        <a:noFill/>
        <a:ln w="9525">
          <a:solidFill>
            <a:srgbClr val="000000"/>
          </a:solidFill>
          <a:round/>
          <a:headEnd/>
          <a:tailEnd type="triangle" w="med" len="med"/>
        </a:ln>
      </xdr:spPr>
    </xdr:sp>
    <xdr:clientData/>
  </xdr:twoCellAnchor>
  <xdr:twoCellAnchor>
    <xdr:from>
      <xdr:col>8</xdr:col>
      <xdr:colOff>594360</xdr:colOff>
      <xdr:row>39</xdr:row>
      <xdr:rowOff>99060</xdr:rowOff>
    </xdr:from>
    <xdr:to>
      <xdr:col>9</xdr:col>
      <xdr:colOff>15240</xdr:colOff>
      <xdr:row>39</xdr:row>
      <xdr:rowOff>99060</xdr:rowOff>
    </xdr:to>
    <xdr:sp macro="" textlink="">
      <xdr:nvSpPr>
        <xdr:cNvPr id="1667" name="Line 11">
          <a:extLst>
            <a:ext uri="{FF2B5EF4-FFF2-40B4-BE49-F238E27FC236}">
              <a16:creationId xmlns:a16="http://schemas.microsoft.com/office/drawing/2014/main" id="{00000000-0008-0000-0000-000083060000}"/>
            </a:ext>
          </a:extLst>
        </xdr:cNvPr>
        <xdr:cNvSpPr>
          <a:spLocks noChangeShapeType="1"/>
        </xdr:cNvSpPr>
      </xdr:nvSpPr>
      <xdr:spPr bwMode="auto">
        <a:xfrm>
          <a:off x="5593080" y="6324600"/>
          <a:ext cx="266700" cy="0"/>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showGridLines="0" workbookViewId="0">
      <selection activeCell="J12" sqref="J12"/>
    </sheetView>
  </sheetViews>
  <sheetFormatPr baseColWidth="10" defaultRowHeight="13.2"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6"/>
  <sheetViews>
    <sheetView showGridLines="0" tabSelected="1" topLeftCell="B4" zoomScale="90" zoomScaleNormal="90" workbookViewId="0">
      <selection activeCell="L33" sqref="L33"/>
    </sheetView>
  </sheetViews>
  <sheetFormatPr baseColWidth="10" defaultRowHeight="13.2" x14ac:dyDescent="0.25"/>
  <cols>
    <col min="1" max="2" width="1.6640625" customWidth="1"/>
    <col min="3" max="3" width="28.5546875" style="1" customWidth="1"/>
    <col min="4" max="4" width="6" customWidth="1"/>
    <col min="5" max="5" width="3.21875" customWidth="1"/>
    <col min="6" max="6" width="2.21875" customWidth="1"/>
    <col min="7" max="7" width="13.109375" style="151" customWidth="1"/>
    <col min="8" max="8" width="12.109375" style="2" customWidth="1"/>
    <col min="9" max="9" width="12.5546875" style="3" customWidth="1"/>
    <col min="10" max="10" width="15.77734375" style="2" customWidth="1"/>
    <col min="11" max="11" width="11" style="2" customWidth="1"/>
    <col min="12" max="12" width="17.44140625" style="2" customWidth="1"/>
    <col min="13" max="13" width="9.33203125" style="2" customWidth="1"/>
    <col min="14" max="14" width="2" style="2" hidden="1" customWidth="1"/>
    <col min="15" max="15" width="9.33203125" style="17" customWidth="1"/>
    <col min="16" max="16" width="6.5546875" style="21" customWidth="1"/>
    <col min="17" max="17" width="1.77734375" style="21" customWidth="1"/>
    <col min="18" max="18" width="2.77734375" customWidth="1"/>
  </cols>
  <sheetData>
    <row r="1" spans="1:20" ht="13.8" thickBot="1" x14ac:dyDescent="0.3">
      <c r="A1" s="15"/>
      <c r="B1" s="15"/>
      <c r="C1" s="24"/>
      <c r="D1" s="6"/>
      <c r="E1" s="6"/>
      <c r="F1" s="6"/>
      <c r="G1" s="128"/>
      <c r="H1" s="7"/>
      <c r="I1" s="8"/>
      <c r="J1" s="7"/>
      <c r="K1" s="7"/>
      <c r="L1" s="7"/>
      <c r="M1" s="7"/>
      <c r="N1" s="7"/>
      <c r="O1" s="16"/>
      <c r="P1" s="20"/>
      <c r="Q1" s="20"/>
      <c r="R1" s="6"/>
      <c r="S1" s="6"/>
      <c r="T1" s="6"/>
    </row>
    <row r="2" spans="1:20" ht="14.4" thickTop="1" thickBot="1" x14ac:dyDescent="0.3">
      <c r="A2" s="53"/>
      <c r="B2" s="55"/>
      <c r="C2" s="54"/>
      <c r="D2" s="55"/>
      <c r="E2" s="55"/>
      <c r="F2" s="55"/>
      <c r="G2" s="129"/>
      <c r="H2" s="56"/>
      <c r="I2" s="57"/>
      <c r="J2" s="56"/>
      <c r="K2" s="56"/>
      <c r="L2" s="56"/>
      <c r="M2" s="56"/>
      <c r="N2" s="56"/>
      <c r="O2" s="58"/>
      <c r="P2" s="59"/>
      <c r="Q2" s="59"/>
      <c r="R2" s="60"/>
      <c r="S2" s="6"/>
      <c r="T2" s="6"/>
    </row>
    <row r="3" spans="1:20" ht="13.2" customHeight="1" x14ac:dyDescent="0.25">
      <c r="A3" s="61"/>
      <c r="B3" s="37"/>
      <c r="C3" s="185" t="s">
        <v>40</v>
      </c>
      <c r="D3" s="186"/>
      <c r="E3" s="186"/>
      <c r="F3" s="186"/>
      <c r="G3" s="186"/>
      <c r="H3" s="186"/>
      <c r="I3" s="186"/>
      <c r="J3" s="186"/>
      <c r="K3" s="186"/>
      <c r="L3" s="186"/>
      <c r="M3" s="186"/>
      <c r="N3" s="186"/>
      <c r="O3" s="186"/>
      <c r="P3" s="187"/>
      <c r="Q3" s="125"/>
      <c r="R3" s="62"/>
      <c r="S3" s="6"/>
      <c r="T3" s="6"/>
    </row>
    <row r="4" spans="1:20" ht="13.8" customHeight="1" thickBot="1" x14ac:dyDescent="0.3">
      <c r="A4" s="61"/>
      <c r="B4" s="37"/>
      <c r="C4" s="188"/>
      <c r="D4" s="189"/>
      <c r="E4" s="189"/>
      <c r="F4" s="189"/>
      <c r="G4" s="189"/>
      <c r="H4" s="189"/>
      <c r="I4" s="189"/>
      <c r="J4" s="189"/>
      <c r="K4" s="189"/>
      <c r="L4" s="189"/>
      <c r="M4" s="189"/>
      <c r="N4" s="189"/>
      <c r="O4" s="189"/>
      <c r="P4" s="190"/>
      <c r="Q4" s="125"/>
      <c r="R4" s="62"/>
      <c r="S4" s="6"/>
      <c r="T4" s="6"/>
    </row>
    <row r="5" spans="1:20" ht="7.2" customHeight="1" x14ac:dyDescent="0.25">
      <c r="A5" s="61"/>
      <c r="B5" s="37"/>
      <c r="C5" s="33"/>
      <c r="D5" s="33"/>
      <c r="E5" s="33"/>
      <c r="F5" s="33"/>
      <c r="G5" s="130"/>
      <c r="H5" s="33"/>
      <c r="I5" s="33"/>
      <c r="J5" s="33"/>
      <c r="K5" s="33"/>
      <c r="L5" s="33"/>
      <c r="M5" s="33"/>
      <c r="N5" s="33"/>
      <c r="O5" s="34"/>
      <c r="P5" s="35"/>
      <c r="Q5" s="35"/>
      <c r="R5" s="62"/>
      <c r="S5" s="6"/>
      <c r="T5" s="6"/>
    </row>
    <row r="6" spans="1:20" x14ac:dyDescent="0.25">
      <c r="A6" s="61"/>
      <c r="B6" s="37"/>
      <c r="C6" s="36"/>
      <c r="D6" s="37"/>
      <c r="E6" s="37"/>
      <c r="F6" s="37"/>
      <c r="G6" s="131"/>
      <c r="H6" s="38"/>
      <c r="I6" s="39"/>
      <c r="J6" s="38"/>
      <c r="K6" s="38"/>
      <c r="L6" s="38"/>
      <c r="M6" s="38"/>
      <c r="N6" s="38"/>
      <c r="O6" s="31"/>
      <c r="P6" s="35"/>
      <c r="Q6" s="35"/>
      <c r="R6" s="62"/>
      <c r="S6" s="6"/>
      <c r="T6" s="6"/>
    </row>
    <row r="7" spans="1:20" x14ac:dyDescent="0.25">
      <c r="A7" s="61"/>
      <c r="B7" s="37"/>
      <c r="C7" s="36"/>
      <c r="D7" s="37"/>
      <c r="E7" s="37"/>
      <c r="F7" s="37"/>
      <c r="G7" s="131"/>
      <c r="H7" s="38"/>
      <c r="I7" s="39"/>
      <c r="J7" s="38"/>
      <c r="K7" s="38"/>
      <c r="L7" s="38"/>
      <c r="M7" s="38"/>
      <c r="N7" s="38"/>
      <c r="O7" s="31"/>
      <c r="P7" s="35"/>
      <c r="Q7" s="35"/>
      <c r="R7" s="62"/>
      <c r="S7" s="6"/>
      <c r="T7" s="6"/>
    </row>
    <row r="8" spans="1:20" ht="18.600000000000001" customHeight="1" thickBot="1" x14ac:dyDescent="0.3">
      <c r="A8" s="61"/>
      <c r="B8" s="37"/>
      <c r="C8" s="36"/>
      <c r="D8" s="37"/>
      <c r="E8" s="37"/>
      <c r="F8" s="37"/>
      <c r="G8" s="131"/>
      <c r="H8" s="38"/>
      <c r="I8" s="39"/>
      <c r="J8" s="38"/>
      <c r="K8" s="38"/>
      <c r="L8" s="38"/>
      <c r="M8" s="38"/>
      <c r="N8" s="38"/>
      <c r="O8" s="31"/>
      <c r="P8" s="35"/>
      <c r="Q8" s="35"/>
      <c r="R8" s="62"/>
      <c r="S8" s="6"/>
      <c r="T8" s="6"/>
    </row>
    <row r="9" spans="1:20" ht="13.8" thickBot="1" x14ac:dyDescent="0.3">
      <c r="A9" s="61"/>
      <c r="B9" s="37"/>
      <c r="C9" s="36"/>
      <c r="D9" s="37"/>
      <c r="E9" s="37"/>
      <c r="F9" s="40"/>
      <c r="G9" s="132"/>
      <c r="H9" s="41"/>
      <c r="I9" s="42"/>
      <c r="J9" s="41"/>
      <c r="K9" s="41"/>
      <c r="L9" s="41"/>
      <c r="M9" s="41"/>
      <c r="N9" s="41"/>
      <c r="O9" s="43"/>
      <c r="P9" s="44"/>
      <c r="Q9" s="72"/>
      <c r="R9" s="62"/>
      <c r="S9" s="6"/>
      <c r="T9" s="6"/>
    </row>
    <row r="10" spans="1:20" ht="13.8" thickBot="1" x14ac:dyDescent="0.3">
      <c r="A10" s="61"/>
      <c r="B10" s="37"/>
      <c r="C10" s="195" t="s">
        <v>26</v>
      </c>
      <c r="D10" s="225"/>
      <c r="E10" s="37"/>
      <c r="F10" s="32"/>
      <c r="G10" s="211" t="s">
        <v>30</v>
      </c>
      <c r="H10" s="80"/>
      <c r="I10" s="80"/>
      <c r="J10" s="80"/>
      <c r="K10" s="80">
        <f>D11</f>
        <v>7</v>
      </c>
      <c r="L10" s="80" t="s">
        <v>31</v>
      </c>
      <c r="M10" s="80"/>
      <c r="N10" s="80"/>
      <c r="O10" s="80"/>
      <c r="P10" s="191"/>
      <c r="Q10" s="79"/>
      <c r="R10" s="62"/>
      <c r="T10" s="6"/>
    </row>
    <row r="11" spans="1:20" x14ac:dyDescent="0.25">
      <c r="A11" s="61"/>
      <c r="B11" s="37"/>
      <c r="C11" s="9" t="s">
        <v>10</v>
      </c>
      <c r="D11" s="228">
        <v>7</v>
      </c>
      <c r="E11" s="37"/>
      <c r="F11" s="32"/>
      <c r="G11" s="133" t="s">
        <v>32</v>
      </c>
      <c r="H11" s="52" t="s">
        <v>33</v>
      </c>
      <c r="I11" s="18" t="s">
        <v>7</v>
      </c>
      <c r="J11" s="170" t="s">
        <v>2</v>
      </c>
      <c r="K11" s="221" t="s">
        <v>41</v>
      </c>
      <c r="L11" s="221"/>
      <c r="M11" s="206" t="s">
        <v>38</v>
      </c>
      <c r="N11" s="207"/>
      <c r="O11" s="207"/>
      <c r="P11" s="208"/>
      <c r="Q11" s="76"/>
      <c r="R11" s="62"/>
      <c r="S11" s="6"/>
      <c r="T11" s="6"/>
    </row>
    <row r="12" spans="1:20" ht="13.8" thickBot="1" x14ac:dyDescent="0.3">
      <c r="A12" s="61"/>
      <c r="B12" s="37"/>
      <c r="C12" s="10" t="s">
        <v>11</v>
      </c>
      <c r="D12" s="205">
        <v>3.7</v>
      </c>
      <c r="E12" s="37"/>
      <c r="F12" s="32"/>
      <c r="G12" s="134">
        <f>(D15/2/PI()/D11)</f>
        <v>9.0945681766797328</v>
      </c>
      <c r="H12" s="4">
        <f>1000000/2/PI()/D15/D11</f>
        <v>56.841051104248336</v>
      </c>
      <c r="I12" s="19">
        <f>(G12*0.000001)/(H12*0.000000000001)</f>
        <v>159999.99999999997</v>
      </c>
      <c r="J12" s="30">
        <f>0.15*(D17)*(1/(1.03+0.8*(D17)/(K16)))*SQRT(D11*1000000)</f>
        <v>868.24927711794112</v>
      </c>
      <c r="K12" s="209">
        <f>(D15^2+M12^2)/M12</f>
        <v>557762.67317765264</v>
      </c>
      <c r="L12" s="210"/>
      <c r="M12" s="192">
        <f>SQRT(D11)*J16*1.37/24/(D13/2)</f>
        <v>0.28686050534254376</v>
      </c>
      <c r="N12" s="193"/>
      <c r="O12" s="193"/>
      <c r="P12" s="194"/>
      <c r="Q12" s="77"/>
      <c r="R12" s="62"/>
      <c r="S12" s="6"/>
      <c r="T12" s="6"/>
    </row>
    <row r="13" spans="1:20" ht="13.8" thickBot="1" x14ac:dyDescent="0.3">
      <c r="A13" s="61"/>
      <c r="B13" s="37"/>
      <c r="C13" s="10" t="s">
        <v>9</v>
      </c>
      <c r="D13" s="233">
        <v>2.5</v>
      </c>
      <c r="E13" s="37"/>
      <c r="F13" s="32"/>
      <c r="G13" s="131"/>
      <c r="H13" s="38"/>
      <c r="I13" s="39"/>
      <c r="J13" s="38"/>
      <c r="K13" s="38"/>
      <c r="L13" s="38"/>
      <c r="M13" s="38"/>
      <c r="N13" s="38"/>
      <c r="O13" s="31"/>
      <c r="P13" s="35"/>
      <c r="Q13" s="76"/>
      <c r="R13" s="62"/>
      <c r="S13" s="6"/>
      <c r="T13" s="6"/>
    </row>
    <row r="14" spans="1:20" ht="13.8" thickBot="1" x14ac:dyDescent="0.3">
      <c r="A14" s="61"/>
      <c r="B14" s="37"/>
      <c r="C14" s="10" t="s">
        <v>0</v>
      </c>
      <c r="D14" s="226">
        <v>7</v>
      </c>
      <c r="E14" s="37"/>
      <c r="F14" s="32"/>
      <c r="G14" s="195" t="s">
        <v>46</v>
      </c>
      <c r="H14" s="196"/>
      <c r="I14" s="196"/>
      <c r="J14" s="196"/>
      <c r="K14" s="196"/>
      <c r="L14" s="196"/>
      <c r="M14" s="197"/>
      <c r="N14" s="197"/>
      <c r="O14" s="197"/>
      <c r="P14" s="198"/>
      <c r="Q14" s="78"/>
      <c r="R14" s="62"/>
      <c r="S14" s="6"/>
      <c r="T14" s="6"/>
    </row>
    <row r="15" spans="1:20" x14ac:dyDescent="0.25">
      <c r="A15" s="61"/>
      <c r="B15" s="37"/>
      <c r="C15" s="242" t="s">
        <v>50</v>
      </c>
      <c r="D15" s="226">
        <v>400</v>
      </c>
      <c r="E15" s="37"/>
      <c r="F15" s="32"/>
      <c r="G15" s="135" t="s">
        <v>20</v>
      </c>
      <c r="H15" s="29" t="s">
        <v>22</v>
      </c>
      <c r="I15" s="50" t="s">
        <v>1</v>
      </c>
      <c r="J15" s="29" t="s">
        <v>23</v>
      </c>
      <c r="K15" s="222" t="s">
        <v>21</v>
      </c>
      <c r="L15" s="223"/>
      <c r="M15" s="202" t="s">
        <v>42</v>
      </c>
      <c r="N15" s="203"/>
      <c r="O15" s="203"/>
      <c r="P15" s="204"/>
      <c r="Q15" s="77"/>
      <c r="R15" s="62"/>
      <c r="S15" s="152"/>
      <c r="T15" s="6"/>
    </row>
    <row r="16" spans="1:20" ht="13.8" thickBot="1" x14ac:dyDescent="0.3">
      <c r="A16" s="61"/>
      <c r="B16" s="37"/>
      <c r="C16" s="162" t="s">
        <v>5</v>
      </c>
      <c r="D16" s="227">
        <v>2.5</v>
      </c>
      <c r="E16" s="37"/>
      <c r="F16" s="32"/>
      <c r="G16" s="164">
        <v>4.1666666699999997</v>
      </c>
      <c r="H16" s="168">
        <f>50/G16/((D14+D13/10)^2)</f>
        <v>0.22829964309916767</v>
      </c>
      <c r="I16" s="26">
        <f>G12*H16*(1+SQRT(1+23/(D14/2+D13/10)/G12/(H16^2)))</f>
        <v>9.8281241595407032</v>
      </c>
      <c r="J16" s="168">
        <f>I16*1.06*PI()*SQRT((D14+D13/10)^2+(D13/10)^2)/100</f>
        <v>2.3742280232617916</v>
      </c>
      <c r="K16" s="219">
        <f>I16*2*D13/10</f>
        <v>4.9140620797703516</v>
      </c>
      <c r="L16" s="220"/>
      <c r="M16" s="199">
        <f>K16/D14</f>
        <v>0.70200886853862166</v>
      </c>
      <c r="N16" s="200"/>
      <c r="O16" s="200"/>
      <c r="P16" s="201"/>
      <c r="Q16" s="77"/>
      <c r="R16" s="62"/>
      <c r="S16" s="153"/>
      <c r="T16" s="6"/>
    </row>
    <row r="17" spans="1:23" ht="10.8" customHeight="1" thickBot="1" x14ac:dyDescent="0.3">
      <c r="A17" s="61"/>
      <c r="B17" s="37"/>
      <c r="C17" s="163" t="s">
        <v>49</v>
      </c>
      <c r="D17" s="229">
        <v>3.5</v>
      </c>
      <c r="E17" s="37"/>
      <c r="F17" s="45"/>
      <c r="G17" s="165" t="s">
        <v>22</v>
      </c>
      <c r="H17" s="48"/>
      <c r="I17" s="49"/>
      <c r="J17" s="48"/>
      <c r="K17" s="48"/>
      <c r="L17" s="48"/>
      <c r="M17" s="48"/>
      <c r="N17" s="48"/>
      <c r="O17" s="46"/>
      <c r="P17" s="47"/>
      <c r="Q17" s="73"/>
      <c r="R17" s="62"/>
      <c r="S17" s="6"/>
      <c r="T17" s="6"/>
    </row>
    <row r="18" spans="1:23" ht="12.6" customHeight="1" thickBot="1" x14ac:dyDescent="0.3">
      <c r="A18" s="61"/>
      <c r="B18" s="37"/>
      <c r="C18" s="36"/>
      <c r="D18" s="37"/>
      <c r="E18" s="37"/>
      <c r="F18" s="37"/>
      <c r="G18" s="131"/>
      <c r="H18" s="38"/>
      <c r="I18" s="39"/>
      <c r="J18" s="38"/>
      <c r="K18" s="38"/>
      <c r="L18" s="38"/>
      <c r="M18" s="38"/>
      <c r="N18" s="38"/>
      <c r="O18" s="31"/>
      <c r="P18" s="35"/>
      <c r="Q18" s="35"/>
      <c r="R18" s="62"/>
      <c r="S18" s="6"/>
      <c r="T18" s="6"/>
    </row>
    <row r="19" spans="1:23" ht="12.6" customHeight="1" thickBot="1" x14ac:dyDescent="0.3">
      <c r="A19" s="61"/>
      <c r="B19" s="82"/>
      <c r="C19" s="83"/>
      <c r="D19" s="84"/>
      <c r="E19" s="84"/>
      <c r="F19" s="84"/>
      <c r="G19" s="137"/>
      <c r="H19" s="85"/>
      <c r="I19" s="86"/>
      <c r="J19" s="85"/>
      <c r="K19" s="85"/>
      <c r="L19" s="85"/>
      <c r="M19" s="85"/>
      <c r="N19" s="85"/>
      <c r="O19" s="122"/>
      <c r="P19" s="123"/>
      <c r="Q19" s="124"/>
      <c r="R19" s="62"/>
      <c r="S19" s="6"/>
      <c r="T19" s="6"/>
    </row>
    <row r="20" spans="1:23" ht="13.2" customHeight="1" thickBot="1" x14ac:dyDescent="0.3">
      <c r="A20" s="61"/>
      <c r="B20" s="89"/>
      <c r="C20" s="230" t="s">
        <v>51</v>
      </c>
      <c r="D20" s="234"/>
      <c r="E20" s="87"/>
      <c r="F20" s="87"/>
      <c r="G20" s="179" t="s">
        <v>12</v>
      </c>
      <c r="H20" s="180"/>
      <c r="I20" s="180"/>
      <c r="J20" s="180"/>
      <c r="K20" s="180"/>
      <c r="L20" s="180"/>
      <c r="M20" s="180"/>
      <c r="N20" s="180"/>
      <c r="O20" s="181"/>
      <c r="P20" s="99"/>
      <c r="Q20" s="100"/>
      <c r="R20" s="62"/>
      <c r="S20" s="6"/>
      <c r="T20" s="6"/>
    </row>
    <row r="21" spans="1:23" ht="13.2" customHeight="1" x14ac:dyDescent="0.25">
      <c r="A21" s="61"/>
      <c r="B21" s="89"/>
      <c r="C21" s="231"/>
      <c r="D21" s="235"/>
      <c r="E21" s="87"/>
      <c r="F21" s="87"/>
      <c r="G21" s="154" t="s">
        <v>3</v>
      </c>
      <c r="H21" s="170" t="s">
        <v>4</v>
      </c>
      <c r="I21" s="155" t="s">
        <v>43</v>
      </c>
      <c r="J21" s="166" t="s">
        <v>44</v>
      </c>
      <c r="K21" s="175" t="s">
        <v>45</v>
      </c>
      <c r="L21" s="240"/>
      <c r="M21" s="166" t="s">
        <v>2</v>
      </c>
      <c r="N21" s="156"/>
      <c r="O21" s="182"/>
      <c r="P21" s="99"/>
      <c r="Q21" s="100"/>
      <c r="R21" s="62"/>
      <c r="S21" s="6"/>
      <c r="T21" s="6"/>
    </row>
    <row r="22" spans="1:23" ht="13.8" customHeight="1" thickBot="1" x14ac:dyDescent="0.3">
      <c r="A22" s="61"/>
      <c r="B22" s="89"/>
      <c r="C22" s="231"/>
      <c r="D22" s="235"/>
      <c r="E22" s="87"/>
      <c r="F22" s="87"/>
      <c r="G22" s="136">
        <f>2*PI()*D12*G12</f>
        <v>211.42857142857142</v>
      </c>
      <c r="H22" s="168">
        <f>1000000/2/PI()/D12/H12</f>
        <v>756.75675675675666</v>
      </c>
      <c r="I22" s="171">
        <f>K12*(D12/D11)^1.5</f>
        <v>214340.86199789686</v>
      </c>
      <c r="J22" s="167">
        <f>I22^2*K27/(I22^2+K27^2)</f>
        <v>293.4007529842919</v>
      </c>
      <c r="K22" s="174">
        <f>I22*K27^2/(I22^2+K27^2)</f>
        <v>0.40162273469542714</v>
      </c>
      <c r="L22" s="241"/>
      <c r="M22" s="183">
        <f>K27/K22</f>
        <v>730.53957707249731</v>
      </c>
      <c r="N22" s="183"/>
      <c r="O22" s="184"/>
      <c r="P22" s="99"/>
      <c r="Q22" s="100"/>
      <c r="R22" s="62"/>
      <c r="S22" s="6"/>
      <c r="T22" s="6"/>
    </row>
    <row r="23" spans="1:23" ht="13.2" customHeight="1" x14ac:dyDescent="0.25">
      <c r="A23" s="61"/>
      <c r="B23" s="89"/>
      <c r="C23" s="231"/>
      <c r="D23" s="235"/>
      <c r="E23" s="87"/>
      <c r="F23" s="87"/>
      <c r="G23" s="138"/>
      <c r="H23" s="114"/>
      <c r="I23" s="106"/>
      <c r="J23" s="94"/>
      <c r="K23" s="94"/>
      <c r="L23" s="94"/>
      <c r="M23" s="94"/>
      <c r="N23" s="94"/>
      <c r="O23" s="98"/>
      <c r="P23" s="99"/>
      <c r="Q23" s="100"/>
      <c r="R23" s="62"/>
      <c r="S23" s="6"/>
      <c r="T23" s="6"/>
    </row>
    <row r="24" spans="1:23" ht="13.8" customHeight="1" x14ac:dyDescent="0.25">
      <c r="A24" s="61"/>
      <c r="B24" s="89"/>
      <c r="C24" s="231"/>
      <c r="D24" s="235"/>
      <c r="E24" s="87"/>
      <c r="F24" s="87"/>
      <c r="G24" s="139"/>
      <c r="H24" s="94"/>
      <c r="I24" s="106"/>
      <c r="J24" s="94"/>
      <c r="K24" s="94"/>
      <c r="L24" s="94"/>
      <c r="M24" s="94"/>
      <c r="N24" s="94"/>
      <c r="O24" s="98"/>
      <c r="P24" s="99"/>
      <c r="Q24" s="100"/>
      <c r="R24" s="62"/>
      <c r="S24" s="6"/>
      <c r="T24" s="6"/>
    </row>
    <row r="25" spans="1:23" ht="13.8" customHeight="1" x14ac:dyDescent="0.25">
      <c r="A25" s="61"/>
      <c r="B25" s="89"/>
      <c r="C25" s="231"/>
      <c r="D25" s="235"/>
      <c r="E25" s="87"/>
      <c r="F25" s="87"/>
      <c r="G25" s="139"/>
      <c r="H25" s="94"/>
      <c r="I25" s="106"/>
      <c r="J25" s="94"/>
      <c r="K25" s="94"/>
      <c r="L25" s="94"/>
      <c r="M25" s="94"/>
      <c r="N25" s="94"/>
      <c r="O25" s="98"/>
      <c r="P25" s="99"/>
      <c r="Q25" s="100"/>
      <c r="R25" s="62"/>
      <c r="S25" s="6"/>
      <c r="T25" s="6"/>
    </row>
    <row r="26" spans="1:23" ht="13.8" customHeight="1" thickBot="1" x14ac:dyDescent="0.3">
      <c r="A26" s="61"/>
      <c r="B26" s="89"/>
      <c r="C26" s="231"/>
      <c r="D26" s="235"/>
      <c r="E26" s="87"/>
      <c r="F26" s="87"/>
      <c r="G26" s="139"/>
      <c r="H26" s="94"/>
      <c r="I26" s="106"/>
      <c r="J26" s="94"/>
      <c r="K26" s="94"/>
      <c r="L26" s="94"/>
      <c r="M26" s="94"/>
      <c r="N26" s="94"/>
      <c r="O26" s="98"/>
      <c r="P26" s="99"/>
      <c r="Q26" s="100"/>
      <c r="R26" s="62"/>
      <c r="S26" s="6"/>
      <c r="T26" s="6"/>
    </row>
    <row r="27" spans="1:23" ht="15" customHeight="1" thickBot="1" x14ac:dyDescent="0.3">
      <c r="A27" s="61"/>
      <c r="B27" s="89"/>
      <c r="C27" s="231"/>
      <c r="D27" s="235"/>
      <c r="E27" s="87"/>
      <c r="F27" s="87"/>
      <c r="G27" s="238" t="s">
        <v>24</v>
      </c>
      <c r="H27" s="239"/>
      <c r="I27" s="239"/>
      <c r="J27" s="239"/>
      <c r="K27" s="237">
        <f>ABS(-G22*H22/(G22-H22))</f>
        <v>293.40130274709713</v>
      </c>
      <c r="L27" s="28" t="s">
        <v>48</v>
      </c>
      <c r="M27" s="28"/>
      <c r="N27" s="28"/>
      <c r="O27" s="159">
        <f>ROUND(K27/2/PI()/D12,1)</f>
        <v>12.6</v>
      </c>
      <c r="P27" s="27" t="s">
        <v>29</v>
      </c>
      <c r="Q27" s="75"/>
      <c r="R27" s="62"/>
      <c r="S27" s="6"/>
      <c r="T27" s="6"/>
    </row>
    <row r="28" spans="1:23" ht="6.6" customHeight="1" thickBot="1" x14ac:dyDescent="0.3">
      <c r="A28" s="61"/>
      <c r="B28" s="89"/>
      <c r="C28" s="231"/>
      <c r="D28" s="235"/>
      <c r="E28" s="87"/>
      <c r="F28" s="87"/>
      <c r="G28" s="140"/>
      <c r="H28" s="120"/>
      <c r="I28" s="121"/>
      <c r="J28" s="94"/>
      <c r="K28" s="94"/>
      <c r="L28" s="94"/>
      <c r="M28" s="94"/>
      <c r="N28" s="94"/>
      <c r="O28" s="98"/>
      <c r="P28" s="99"/>
      <c r="Q28" s="100"/>
      <c r="R28" s="62"/>
      <c r="S28" s="6"/>
      <c r="T28" s="6"/>
    </row>
    <row r="29" spans="1:23" ht="13.8" customHeight="1" thickBot="1" x14ac:dyDescent="0.3">
      <c r="A29" s="61"/>
      <c r="B29" s="89"/>
      <c r="C29" s="231"/>
      <c r="D29" s="235"/>
      <c r="E29" s="87"/>
      <c r="F29" s="87"/>
      <c r="G29" s="214" t="s">
        <v>27</v>
      </c>
      <c r="H29" s="215"/>
      <c r="I29" s="216" t="s">
        <v>47</v>
      </c>
      <c r="J29" s="217"/>
      <c r="K29" s="218"/>
      <c r="L29" s="114"/>
      <c r="M29" s="94"/>
      <c r="N29" s="94"/>
      <c r="O29" s="98"/>
      <c r="P29" s="99"/>
      <c r="Q29" s="100"/>
      <c r="R29" s="62"/>
      <c r="S29" s="6"/>
      <c r="T29" s="6"/>
    </row>
    <row r="30" spans="1:23" ht="13.2" customHeight="1" thickBot="1" x14ac:dyDescent="0.3">
      <c r="A30" s="61"/>
      <c r="B30" s="89"/>
      <c r="C30" s="231"/>
      <c r="D30" s="235"/>
      <c r="E30" s="87"/>
      <c r="F30" s="87"/>
      <c r="G30" s="157" t="s">
        <v>19</v>
      </c>
      <c r="H30" s="158">
        <f>71.25/D11</f>
        <v>10.178571428571429</v>
      </c>
      <c r="I30" s="176" t="s">
        <v>25</v>
      </c>
      <c r="J30" s="177"/>
      <c r="K30" s="178"/>
      <c r="L30" s="94"/>
      <c r="M30" s="94"/>
      <c r="N30" s="94"/>
      <c r="O30" s="98"/>
      <c r="P30" s="99"/>
      <c r="Q30" s="100"/>
      <c r="R30" s="62"/>
      <c r="S30" s="6"/>
      <c r="T30" s="6"/>
    </row>
    <row r="31" spans="1:23" ht="13.2" customHeight="1" x14ac:dyDescent="0.25">
      <c r="A31" s="61"/>
      <c r="B31" s="89"/>
      <c r="C31" s="231"/>
      <c r="D31" s="235"/>
      <c r="E31" s="87"/>
      <c r="F31" s="87"/>
      <c r="G31" s="141" t="s">
        <v>13</v>
      </c>
      <c r="H31" s="12">
        <f>300/D12</f>
        <v>81.081081081081081</v>
      </c>
      <c r="I31" s="13" t="s">
        <v>16</v>
      </c>
      <c r="J31" s="23">
        <f>H35-K27</f>
        <v>-861.98916150996467</v>
      </c>
      <c r="K31" s="81" t="s">
        <v>28</v>
      </c>
      <c r="L31" s="94"/>
      <c r="M31" s="94"/>
      <c r="N31" s="94"/>
      <c r="O31" s="98"/>
      <c r="P31" s="99"/>
      <c r="Q31" s="100"/>
      <c r="R31" s="62"/>
      <c r="S31" s="6"/>
      <c r="T31" s="6"/>
    </row>
    <row r="32" spans="1:23" ht="13.8" customHeight="1" thickBot="1" x14ac:dyDescent="0.3">
      <c r="A32" s="61"/>
      <c r="B32" s="89"/>
      <c r="C32" s="231"/>
      <c r="D32" s="235"/>
      <c r="E32" s="87"/>
      <c r="F32" s="87"/>
      <c r="G32" s="142" t="s">
        <v>6</v>
      </c>
      <c r="H32" s="12">
        <f>60*(LN(4*H30*1000/D16)-1)</f>
        <v>521.8826146992792</v>
      </c>
      <c r="I32" s="51" t="s">
        <v>17</v>
      </c>
      <c r="J32" s="22">
        <f>ATAN(-H32/J31)*H31*0.95/2/PI()</f>
        <v>6.6740462742303457</v>
      </c>
      <c r="K32" s="169" t="s">
        <v>18</v>
      </c>
      <c r="L32" s="94"/>
      <c r="M32" s="94"/>
      <c r="N32" s="94"/>
      <c r="O32" s="98"/>
      <c r="P32" s="99"/>
      <c r="Q32" s="100"/>
      <c r="R32" s="62"/>
      <c r="S32" s="6"/>
      <c r="T32" s="6"/>
      <c r="U32" s="6"/>
      <c r="V32" s="6"/>
      <c r="W32" s="6"/>
    </row>
    <row r="33" spans="1:23" ht="13.2" customHeight="1" x14ac:dyDescent="0.25">
      <c r="A33" s="61"/>
      <c r="B33" s="89"/>
      <c r="C33" s="231"/>
      <c r="D33" s="235"/>
      <c r="E33" s="87"/>
      <c r="F33" s="87"/>
      <c r="G33" s="142" t="s">
        <v>8</v>
      </c>
      <c r="H33" s="14">
        <f>2*PI()/H31</f>
        <v>7.7492618788548226E-2</v>
      </c>
      <c r="I33" s="113"/>
      <c r="J33" s="87"/>
      <c r="K33" s="172"/>
      <c r="L33" s="172"/>
      <c r="M33" s="94"/>
      <c r="N33" s="103"/>
      <c r="O33" s="98"/>
      <c r="P33" s="99"/>
      <c r="Q33" s="100"/>
      <c r="R33" s="62"/>
      <c r="S33" s="6"/>
      <c r="T33" s="6"/>
      <c r="U33" s="6"/>
      <c r="V33" s="6"/>
      <c r="W33" s="6"/>
    </row>
    <row r="34" spans="1:23" ht="13.2" customHeight="1" x14ac:dyDescent="0.25">
      <c r="A34" s="61"/>
      <c r="B34" s="89"/>
      <c r="C34" s="231"/>
      <c r="D34" s="235"/>
      <c r="E34" s="87"/>
      <c r="F34" s="87"/>
      <c r="G34" s="142" t="s">
        <v>14</v>
      </c>
      <c r="H34" s="14">
        <f>H33*H30*1.05</f>
        <v>0.82820236330260921</v>
      </c>
      <c r="I34" s="212"/>
      <c r="J34" s="94"/>
      <c r="K34" s="102"/>
      <c r="L34" s="102"/>
      <c r="M34" s="94"/>
      <c r="N34" s="87"/>
      <c r="O34" s="98"/>
      <c r="P34" s="99"/>
      <c r="Q34" s="100"/>
      <c r="R34" s="62"/>
      <c r="S34" s="6"/>
      <c r="T34" s="6"/>
      <c r="U34" s="6"/>
      <c r="V34" s="6"/>
      <c r="W34" s="6"/>
    </row>
    <row r="35" spans="1:23" ht="13.8" customHeight="1" thickBot="1" x14ac:dyDescent="0.3">
      <c r="A35" s="61"/>
      <c r="B35" s="89"/>
      <c r="C35" s="231"/>
      <c r="D35" s="235"/>
      <c r="E35" s="87"/>
      <c r="F35" s="87"/>
      <c r="G35" s="143" t="s">
        <v>15</v>
      </c>
      <c r="H35" s="160">
        <f>-H32*TAN(H34)</f>
        <v>-568.58785876286754</v>
      </c>
      <c r="I35" s="212"/>
      <c r="J35" s="94"/>
      <c r="K35" s="213"/>
      <c r="L35" s="213"/>
      <c r="M35" s="94"/>
      <c r="N35" s="94"/>
      <c r="O35" s="98"/>
      <c r="P35" s="161"/>
      <c r="Q35" s="100"/>
      <c r="R35" s="62"/>
      <c r="S35" s="6"/>
      <c r="T35" s="6"/>
      <c r="U35" s="6"/>
      <c r="V35" s="6"/>
      <c r="W35" s="6"/>
    </row>
    <row r="36" spans="1:23" ht="13.2" customHeight="1" x14ac:dyDescent="0.25">
      <c r="A36" s="61"/>
      <c r="B36" s="89"/>
      <c r="C36" s="231"/>
      <c r="D36" s="235"/>
      <c r="E36" s="87"/>
      <c r="F36" s="87"/>
      <c r="G36" s="144"/>
      <c r="H36" s="94"/>
      <c r="I36" s="95" t="s">
        <v>37</v>
      </c>
      <c r="J36" s="96"/>
      <c r="K36" s="97"/>
      <c r="L36" s="97"/>
      <c r="M36" s="94"/>
      <c r="N36" s="94"/>
      <c r="O36" s="98"/>
      <c r="P36" s="99"/>
      <c r="Q36" s="100"/>
      <c r="R36" s="62"/>
      <c r="S36" s="6"/>
      <c r="T36" s="6"/>
      <c r="U36" s="6"/>
      <c r="V36" s="6"/>
      <c r="W36" s="6"/>
    </row>
    <row r="37" spans="1:23" ht="14.4" customHeight="1" thickBot="1" x14ac:dyDescent="0.3">
      <c r="A37" s="61"/>
      <c r="B37" s="89"/>
      <c r="C37" s="231"/>
      <c r="D37" s="235"/>
      <c r="E37" s="87"/>
      <c r="F37" s="87"/>
      <c r="G37" s="102">
        <f>H35</f>
        <v>-568.58785876286754</v>
      </c>
      <c r="H37" s="102"/>
      <c r="I37" s="101" t="s">
        <v>28</v>
      </c>
      <c r="J37" s="172">
        <f>J31</f>
        <v>-861.98916150996467</v>
      </c>
      <c r="K37" s="102"/>
      <c r="L37" s="102"/>
      <c r="M37" s="102"/>
      <c r="N37" s="94"/>
      <c r="O37" s="98"/>
      <c r="P37" s="99"/>
      <c r="Q37" s="100"/>
      <c r="R37" s="62"/>
      <c r="S37" s="6"/>
      <c r="T37" s="6"/>
      <c r="U37" s="6"/>
      <c r="V37" s="6"/>
      <c r="W37" s="6"/>
    </row>
    <row r="38" spans="1:23" ht="13.8" customHeight="1" thickBot="1" x14ac:dyDescent="0.3">
      <c r="A38" s="61"/>
      <c r="B38" s="89"/>
      <c r="C38" s="231"/>
      <c r="D38" s="235"/>
      <c r="E38" s="87"/>
      <c r="F38" s="87"/>
      <c r="G38" s="139"/>
      <c r="H38" s="94"/>
      <c r="I38" s="127">
        <f>ROUND(+K27,0)</f>
        <v>293</v>
      </c>
      <c r="J38" s="103"/>
      <c r="K38" s="94"/>
      <c r="L38" s="94"/>
      <c r="M38" s="94"/>
      <c r="N38" s="94"/>
      <c r="O38" s="98"/>
      <c r="P38" s="99"/>
      <c r="Q38" s="100"/>
      <c r="R38" s="62"/>
      <c r="S38" s="6"/>
      <c r="T38" s="6"/>
      <c r="U38" s="6"/>
      <c r="V38" s="6"/>
      <c r="W38" s="6"/>
    </row>
    <row r="39" spans="1:23" x14ac:dyDescent="0.25">
      <c r="A39" s="61"/>
      <c r="B39" s="89"/>
      <c r="C39" s="231"/>
      <c r="D39" s="235"/>
      <c r="E39" s="87"/>
      <c r="F39" s="87"/>
      <c r="G39" s="145">
        <f>H30</f>
        <v>10.178571428571429</v>
      </c>
      <c r="H39" s="105" t="s">
        <v>18</v>
      </c>
      <c r="I39" s="126" t="str">
        <f>CONCATENATE(O27," uH")</f>
        <v>12,6 uH</v>
      </c>
      <c r="J39" s="104">
        <f>J32</f>
        <v>6.6740462742303457</v>
      </c>
      <c r="K39" s="94" t="s">
        <v>18</v>
      </c>
      <c r="L39" s="94"/>
      <c r="M39" s="94"/>
      <c r="N39" s="94"/>
      <c r="O39" s="98"/>
      <c r="P39" s="99"/>
      <c r="Q39" s="100"/>
      <c r="R39" s="62"/>
      <c r="S39" s="6"/>
      <c r="T39" s="6"/>
      <c r="U39" s="6"/>
      <c r="V39" s="6"/>
      <c r="W39" s="6"/>
    </row>
    <row r="40" spans="1:23" x14ac:dyDescent="0.25">
      <c r="A40" s="61"/>
      <c r="B40" s="89"/>
      <c r="C40" s="231"/>
      <c r="D40" s="235"/>
      <c r="E40" s="87"/>
      <c r="F40" s="87"/>
      <c r="G40" s="146" t="s">
        <v>34</v>
      </c>
      <c r="H40" s="107" t="s">
        <v>35</v>
      </c>
      <c r="I40" s="108" t="s">
        <v>36</v>
      </c>
      <c r="J40" s="93"/>
      <c r="K40" s="94"/>
      <c r="L40" s="94"/>
      <c r="M40" s="94"/>
      <c r="N40" s="94"/>
      <c r="O40" s="98"/>
      <c r="P40" s="99"/>
      <c r="Q40" s="100"/>
      <c r="R40" s="62"/>
      <c r="S40" s="6"/>
      <c r="T40" s="6"/>
      <c r="U40" s="6"/>
      <c r="V40" s="6"/>
      <c r="W40" s="6"/>
    </row>
    <row r="41" spans="1:23" x14ac:dyDescent="0.25">
      <c r="A41" s="61"/>
      <c r="B41" s="89"/>
      <c r="C41" s="231"/>
      <c r="D41" s="235"/>
      <c r="E41" s="87"/>
      <c r="F41" s="87"/>
      <c r="G41" s="145"/>
      <c r="H41" s="105"/>
      <c r="I41" s="106"/>
      <c r="J41" s="93" t="str">
        <f>"X"</f>
        <v>X</v>
      </c>
      <c r="K41" s="94"/>
      <c r="L41" s="94"/>
      <c r="M41" s="94"/>
      <c r="N41" s="94"/>
      <c r="O41" s="98"/>
      <c r="P41" s="99"/>
      <c r="Q41" s="100"/>
      <c r="R41" s="62"/>
      <c r="S41" s="6"/>
      <c r="T41" s="6"/>
      <c r="U41" s="6"/>
      <c r="V41" s="6"/>
      <c r="W41" s="6"/>
    </row>
    <row r="42" spans="1:23" x14ac:dyDescent="0.25">
      <c r="A42" s="61"/>
      <c r="B42" s="89"/>
      <c r="C42" s="231"/>
      <c r="D42" s="235"/>
      <c r="E42" s="87"/>
      <c r="F42" s="87"/>
      <c r="G42" s="147"/>
      <c r="H42" s="110"/>
      <c r="I42" s="111"/>
      <c r="J42" s="109" t="s">
        <v>39</v>
      </c>
      <c r="K42" s="112"/>
      <c r="L42" s="94"/>
      <c r="M42" s="94"/>
      <c r="N42" s="94"/>
      <c r="O42" s="98"/>
      <c r="P42" s="99"/>
      <c r="Q42" s="100"/>
      <c r="R42" s="62"/>
      <c r="S42" s="6"/>
      <c r="T42" s="6"/>
      <c r="U42" s="6"/>
      <c r="V42" s="6"/>
      <c r="W42" s="6"/>
    </row>
    <row r="43" spans="1:23" ht="13.8" thickBot="1" x14ac:dyDescent="0.3">
      <c r="A43" s="61"/>
      <c r="B43" s="89"/>
      <c r="C43" s="232"/>
      <c r="D43" s="236"/>
      <c r="E43" s="87"/>
      <c r="F43" s="87"/>
      <c r="G43" s="139"/>
      <c r="H43" s="94"/>
      <c r="I43" s="106"/>
      <c r="J43" s="94"/>
      <c r="K43" s="94"/>
      <c r="L43" s="94"/>
      <c r="M43" s="94"/>
      <c r="N43" s="94"/>
      <c r="O43" s="98"/>
      <c r="P43" s="99"/>
      <c r="Q43" s="100"/>
      <c r="R43" s="62"/>
      <c r="S43" s="6"/>
      <c r="T43" s="6"/>
      <c r="U43" s="6"/>
      <c r="V43" s="6"/>
      <c r="W43" s="6"/>
    </row>
    <row r="44" spans="1:23" x14ac:dyDescent="0.25">
      <c r="A44" s="61"/>
      <c r="B44" s="89"/>
      <c r="C44" s="90"/>
      <c r="D44" s="87"/>
      <c r="E44" s="224"/>
      <c r="F44" s="173"/>
      <c r="G44" s="148"/>
      <c r="H44" s="11"/>
      <c r="I44" s="39"/>
      <c r="J44" s="38"/>
      <c r="K44" s="11"/>
      <c r="L44" s="11"/>
      <c r="M44" s="38"/>
      <c r="N44" s="11"/>
      <c r="O44" s="98"/>
      <c r="P44" s="99"/>
      <c r="Q44" s="100"/>
      <c r="R44" s="62"/>
      <c r="S44" s="6"/>
      <c r="T44" s="6"/>
      <c r="U44" s="6"/>
      <c r="V44" s="6"/>
      <c r="W44" s="6"/>
    </row>
    <row r="45" spans="1:23" x14ac:dyDescent="0.25">
      <c r="A45" s="61"/>
      <c r="B45" s="89"/>
      <c r="C45" s="90"/>
      <c r="D45" s="87"/>
      <c r="E45" s="87"/>
      <c r="F45" s="87"/>
      <c r="G45" s="148"/>
      <c r="H45" s="11"/>
      <c r="I45" s="25"/>
      <c r="J45" s="11"/>
      <c r="K45" s="11"/>
      <c r="L45" s="11"/>
      <c r="M45" s="11"/>
      <c r="N45" s="11"/>
      <c r="O45" s="98"/>
      <c r="P45" s="99"/>
      <c r="Q45" s="100"/>
      <c r="R45" s="62"/>
      <c r="S45" s="6"/>
      <c r="T45" s="6"/>
      <c r="U45" s="6"/>
      <c r="V45" s="6"/>
      <c r="W45" s="6"/>
    </row>
    <row r="46" spans="1:23" x14ac:dyDescent="0.25">
      <c r="A46" s="61"/>
      <c r="B46" s="89"/>
      <c r="C46" s="90"/>
      <c r="D46" s="87"/>
      <c r="E46" s="87"/>
      <c r="F46" s="87"/>
      <c r="G46" s="148"/>
      <c r="H46" s="11"/>
      <c r="I46" s="25"/>
      <c r="J46" s="11"/>
      <c r="K46" s="74"/>
      <c r="L46" s="74"/>
      <c r="M46" s="11"/>
      <c r="N46" s="11"/>
      <c r="O46" s="98"/>
      <c r="P46" s="99"/>
      <c r="Q46" s="100"/>
      <c r="R46" s="62"/>
      <c r="S46" s="6"/>
      <c r="T46" s="6"/>
      <c r="U46" s="6"/>
      <c r="V46" s="6"/>
      <c r="W46" s="6"/>
    </row>
    <row r="47" spans="1:23" x14ac:dyDescent="0.25">
      <c r="A47" s="61"/>
      <c r="B47" s="89"/>
      <c r="C47" s="90"/>
      <c r="D47" s="87"/>
      <c r="E47" s="87"/>
      <c r="F47" s="87"/>
      <c r="G47" s="139"/>
      <c r="H47" s="94"/>
      <c r="I47" s="106"/>
      <c r="J47" s="94"/>
      <c r="K47" s="110"/>
      <c r="L47" s="110"/>
      <c r="M47" s="94"/>
      <c r="N47" s="94"/>
      <c r="O47" s="98"/>
      <c r="P47" s="99"/>
      <c r="Q47" s="100"/>
      <c r="R47" s="62"/>
      <c r="S47" s="6"/>
      <c r="T47" s="6"/>
      <c r="U47" s="6"/>
      <c r="V47" s="6"/>
      <c r="W47" s="6"/>
    </row>
    <row r="48" spans="1:23" ht="13.8" thickBot="1" x14ac:dyDescent="0.3">
      <c r="A48" s="61"/>
      <c r="B48" s="91"/>
      <c r="C48" s="92"/>
      <c r="D48" s="88"/>
      <c r="E48" s="88"/>
      <c r="F48" s="88"/>
      <c r="G48" s="149"/>
      <c r="H48" s="118"/>
      <c r="I48" s="119"/>
      <c r="J48" s="118"/>
      <c r="K48" s="118"/>
      <c r="L48" s="118"/>
      <c r="M48" s="118"/>
      <c r="N48" s="118"/>
      <c r="O48" s="115"/>
      <c r="P48" s="116"/>
      <c r="Q48" s="117"/>
      <c r="R48" s="62"/>
      <c r="S48" s="6"/>
      <c r="T48" s="6"/>
      <c r="U48" s="6"/>
      <c r="V48" s="6"/>
      <c r="W48" s="6"/>
    </row>
    <row r="49" spans="1:23" ht="13.8" thickBot="1" x14ac:dyDescent="0.3">
      <c r="A49" s="63"/>
      <c r="B49" s="65"/>
      <c r="C49" s="64"/>
      <c r="D49" s="65"/>
      <c r="E49" s="65"/>
      <c r="F49" s="65"/>
      <c r="G49" s="150"/>
      <c r="H49" s="66"/>
      <c r="I49" s="67"/>
      <c r="J49" s="66"/>
      <c r="K49" s="66"/>
      <c r="L49" s="66"/>
      <c r="M49" s="66"/>
      <c r="N49" s="68"/>
      <c r="O49" s="69"/>
      <c r="P49" s="70"/>
      <c r="Q49" s="70"/>
      <c r="R49" s="71"/>
      <c r="S49" s="6"/>
      <c r="T49" s="6"/>
      <c r="U49" s="6"/>
      <c r="V49" s="6"/>
      <c r="W49" s="6"/>
    </row>
    <row r="50" spans="1:23" ht="13.8" thickTop="1" x14ac:dyDescent="0.25">
      <c r="A50" s="6"/>
      <c r="B50" s="6"/>
      <c r="C50" s="5"/>
      <c r="D50" s="6"/>
      <c r="E50" s="6"/>
      <c r="F50" s="6"/>
      <c r="G50" s="128"/>
      <c r="H50" s="7"/>
      <c r="I50" s="8"/>
      <c r="J50" s="7"/>
      <c r="K50" s="7"/>
      <c r="L50" s="7"/>
      <c r="M50" s="7"/>
      <c r="N50" s="7"/>
      <c r="O50" s="16"/>
      <c r="P50" s="20"/>
      <c r="Q50" s="20"/>
      <c r="R50" s="6"/>
      <c r="S50" s="6"/>
      <c r="T50" s="6"/>
      <c r="U50" s="6"/>
      <c r="V50" s="6"/>
      <c r="W50" s="6"/>
    </row>
    <row r="51" spans="1:23" x14ac:dyDescent="0.25">
      <c r="A51" s="6"/>
      <c r="B51" s="6"/>
      <c r="C51" s="5"/>
      <c r="D51" s="6"/>
      <c r="E51" s="6"/>
      <c r="F51" s="6"/>
      <c r="G51" s="128"/>
      <c r="H51" s="7"/>
      <c r="I51" s="8"/>
      <c r="J51" s="7"/>
      <c r="K51" s="7"/>
      <c r="L51" s="7"/>
      <c r="M51" s="7"/>
      <c r="N51" s="7"/>
      <c r="O51" s="16"/>
      <c r="P51" s="20"/>
      <c r="Q51" s="20"/>
      <c r="R51" s="6"/>
      <c r="S51" s="6"/>
      <c r="T51" s="6"/>
      <c r="U51" s="6"/>
      <c r="V51" s="6"/>
      <c r="W51" s="6"/>
    </row>
    <row r="52" spans="1:23" x14ac:dyDescent="0.25">
      <c r="A52" s="6"/>
      <c r="B52" s="6"/>
      <c r="C52" s="5"/>
      <c r="D52" s="6"/>
      <c r="E52" s="6"/>
      <c r="F52" s="6"/>
      <c r="G52" s="128"/>
      <c r="H52" s="7"/>
      <c r="I52" s="8"/>
      <c r="J52" s="7"/>
      <c r="K52" s="7"/>
      <c r="L52" s="7"/>
      <c r="M52" s="7"/>
      <c r="N52" s="7"/>
      <c r="O52" s="16"/>
      <c r="P52" s="20"/>
      <c r="Q52" s="20"/>
      <c r="R52" s="6"/>
      <c r="S52" s="6"/>
      <c r="T52" s="6"/>
    </row>
    <row r="53" spans="1:23" x14ac:dyDescent="0.25">
      <c r="A53" s="6"/>
      <c r="B53" s="6"/>
      <c r="C53" s="5"/>
      <c r="D53" s="6"/>
      <c r="E53" s="6"/>
      <c r="F53" s="6"/>
      <c r="G53" s="128"/>
      <c r="H53" s="7"/>
      <c r="I53" s="8"/>
      <c r="J53" s="7"/>
      <c r="K53" s="7"/>
      <c r="L53" s="7"/>
      <c r="M53" s="7"/>
      <c r="N53" s="7"/>
      <c r="O53" s="16"/>
      <c r="P53" s="20"/>
      <c r="Q53" s="20"/>
      <c r="R53" s="6"/>
      <c r="S53" s="6"/>
      <c r="T53" s="6"/>
    </row>
    <row r="54" spans="1:23" x14ac:dyDescent="0.25">
      <c r="A54" s="6"/>
      <c r="B54" s="6"/>
      <c r="C54" s="5"/>
      <c r="D54" s="6"/>
      <c r="E54" s="6"/>
      <c r="F54" s="6"/>
      <c r="G54" s="128"/>
      <c r="H54" s="7"/>
      <c r="I54" s="8"/>
      <c r="J54" s="7"/>
      <c r="K54" s="7"/>
      <c r="L54" s="7"/>
      <c r="M54" s="7"/>
      <c r="N54" s="7"/>
      <c r="O54" s="16"/>
      <c r="P54" s="20"/>
      <c r="Q54" s="20"/>
      <c r="R54" s="6"/>
      <c r="S54" s="6"/>
      <c r="T54" s="6"/>
    </row>
    <row r="55" spans="1:23" x14ac:dyDescent="0.25">
      <c r="A55" s="6"/>
      <c r="B55" s="6"/>
      <c r="C55" s="5"/>
      <c r="D55" s="6"/>
      <c r="E55" s="6"/>
      <c r="F55" s="6"/>
      <c r="G55" s="128"/>
      <c r="H55" s="7"/>
      <c r="I55" s="8"/>
      <c r="J55" s="7"/>
      <c r="K55" s="7"/>
      <c r="L55" s="7"/>
      <c r="M55" s="7"/>
      <c r="N55" s="7"/>
      <c r="O55" s="16"/>
      <c r="P55" s="20"/>
      <c r="Q55" s="20"/>
      <c r="R55" s="6"/>
      <c r="S55" s="6"/>
      <c r="T55" s="6"/>
    </row>
    <row r="56" spans="1:23" x14ac:dyDescent="0.25">
      <c r="A56" s="6"/>
      <c r="B56" s="6"/>
      <c r="C56" s="5"/>
      <c r="D56" s="6"/>
      <c r="E56" s="6"/>
      <c r="F56" s="6"/>
      <c r="G56" s="128"/>
      <c r="H56" s="7"/>
      <c r="I56" s="8"/>
      <c r="J56" s="7"/>
      <c r="M56" s="7"/>
      <c r="N56" s="7"/>
      <c r="O56" s="16"/>
      <c r="P56" s="20"/>
      <c r="Q56" s="20"/>
      <c r="R56" s="6"/>
      <c r="S56" s="6"/>
      <c r="T56" s="6"/>
    </row>
  </sheetData>
  <mergeCells count="6">
    <mergeCell ref="K21:L21"/>
    <mergeCell ref="K22:L22"/>
    <mergeCell ref="C20:D43"/>
    <mergeCell ref="I30:K30"/>
    <mergeCell ref="G27:J27"/>
    <mergeCell ref="G20:O20"/>
  </mergeCells>
  <phoneticPr fontId="2" type="noConversion"/>
  <pageMargins left="0.75" right="0.75" top="1" bottom="1" header="0" footer="0"/>
  <pageSetup paperSize="9" orientation="portrait" horizontalDpi="4294967293"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Guia de manejo</vt:lpstr>
      <vt:lpstr>CALCULADOR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Armando</dc:creator>
  <cp:lastModifiedBy>Usuario de Windows</cp:lastModifiedBy>
  <dcterms:created xsi:type="dcterms:W3CDTF">2011-03-29T15:30:00Z</dcterms:created>
  <dcterms:modified xsi:type="dcterms:W3CDTF">2017-11-23T15:10:40Z</dcterms:modified>
</cp:coreProperties>
</file>